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Trace at Blueway\Google Drive\BLUE WAY TECH\INTERNAL\FORMS\SALES\HWRS-PROFILE\"/>
    </mc:Choice>
  </mc:AlternateContent>
  <xr:revisionPtr revIDLastSave="0" documentId="8_{4D0DFC24-28A3-4F4B-BA95-2A1179418F32}" xr6:coauthVersionLast="46" xr6:coauthVersionMax="46" xr10:uidLastSave="{00000000-0000-0000-0000-000000000000}"/>
  <workbookProtection workbookAlgorithmName="SHA-512" workbookHashValue="4kSUsfdcV+FfLRFG2VqEy5jAxUUW749DYQ1empoLhQ2pTx7WclcfHLxY1PbM6lk3ox2bLWKOwvxv6mWjguRU7g==" workbookSaltValue="zAW+Lkee+w1qgVmeTV6naA==" workbookSpinCount="100000" lockStructure="1"/>
  <bookViews>
    <workbookView xWindow="-98" yWindow="-98" windowWidth="22695" windowHeight="14595" xr2:uid="{00000000-000D-0000-FFFF-FFFF00000000}"/>
  </bookViews>
  <sheets>
    <sheet name="PROFILE" sheetId="5" r:id="rId1"/>
    <sheet name="DATA" sheetId="4" r:id="rId2"/>
    <sheet name="IRR" sheetId="2" r:id="rId3"/>
    <sheet name="BACKGROUND" sheetId="6" state="hidden" r:id="rId4"/>
  </sheets>
  <definedNames>
    <definedName name="Homo_Picture">INDIRECT(PROFILE!$I$22)</definedName>
    <definedName name="Homogenizers">BACKGROUND!$G$1</definedName>
    <definedName name="HWRS">BACKGROUND!$H$1</definedName>
    <definedName name="payback" localSheetId="2">IRR!$G$94:$Q$94</definedName>
    <definedName name="payback">#REF!</definedName>
    <definedName name="_xlnm.Print_Area" localSheetId="1">DATA!$A$7:$M$42</definedName>
    <definedName name="_xlnm.Print_Area" localSheetId="2">IRR!$A$3:$N$67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4" l="1"/>
  <c r="K24" i="4"/>
  <c r="K23" i="4"/>
  <c r="K22" i="4"/>
  <c r="K21" i="4"/>
  <c r="M23" i="4"/>
  <c r="M22" i="4"/>
  <c r="M21" i="4"/>
  <c r="C40" i="4"/>
  <c r="D40" i="4" s="1"/>
  <c r="E40" i="4" s="1"/>
  <c r="F40" i="4" s="1"/>
  <c r="G40" i="4" s="1"/>
  <c r="I30" i="4"/>
  <c r="I37" i="4"/>
  <c r="C72" i="4"/>
  <c r="D72" i="4" s="1"/>
  <c r="E72" i="4" s="1"/>
  <c r="F72" i="4" s="1"/>
  <c r="G72" i="4" s="1"/>
  <c r="C64" i="4"/>
  <c r="D64" i="4" s="1"/>
  <c r="E64" i="4" s="1"/>
  <c r="F64" i="4" s="1"/>
  <c r="G64" i="4" s="1"/>
  <c r="C56" i="4"/>
  <c r="D56" i="4" s="1"/>
  <c r="E56" i="4" s="1"/>
  <c r="F56" i="4" s="1"/>
  <c r="G56" i="4" s="1"/>
  <c r="C48" i="4"/>
  <c r="D48" i="4" s="1"/>
  <c r="E48" i="4" s="1"/>
  <c r="F48" i="4" s="1"/>
  <c r="G48" i="4" s="1"/>
  <c r="B51" i="2"/>
  <c r="C32" i="2" l="1"/>
  <c r="C12" i="2"/>
  <c r="D58" i="2" s="1"/>
  <c r="E72" i="2"/>
  <c r="G81" i="2"/>
  <c r="G80" i="2"/>
  <c r="C2" i="4"/>
  <c r="B5" i="2" l="1"/>
  <c r="B2" i="2"/>
  <c r="C5" i="4"/>
  <c r="B4" i="2"/>
  <c r="B3" i="2"/>
  <c r="C4" i="5"/>
  <c r="C3" i="5"/>
  <c r="C3" i="4"/>
  <c r="C4" i="4"/>
  <c r="T19" i="5"/>
  <c r="I73" i="4"/>
  <c r="N113" i="5"/>
  <c r="L113" i="5"/>
  <c r="L114" i="5"/>
  <c r="L115" i="5"/>
  <c r="I72" i="4"/>
  <c r="I71" i="4"/>
  <c r="I70" i="4"/>
  <c r="I69" i="4"/>
  <c r="K69" i="4"/>
  <c r="I65" i="4"/>
  <c r="N98" i="5"/>
  <c r="N97" i="5"/>
  <c r="L98" i="5"/>
  <c r="L99" i="5"/>
  <c r="L100" i="5"/>
  <c r="L97" i="5"/>
  <c r="I64" i="4"/>
  <c r="I63" i="4"/>
  <c r="I62" i="4"/>
  <c r="I61" i="4"/>
  <c r="K61" i="4"/>
  <c r="I57" i="4"/>
  <c r="N81" i="5"/>
  <c r="L81" i="5"/>
  <c r="L82" i="5"/>
  <c r="L83" i="5"/>
  <c r="I56" i="4"/>
  <c r="I55" i="4"/>
  <c r="I54" i="4"/>
  <c r="I53" i="4"/>
  <c r="K53" i="4"/>
  <c r="C32" i="4"/>
  <c r="I47" i="4"/>
  <c r="I46" i="4"/>
  <c r="I45" i="4"/>
  <c r="I48" i="4"/>
  <c r="I49" i="4"/>
  <c r="L66" i="5"/>
  <c r="L67" i="5"/>
  <c r="L68" i="5"/>
  <c r="N66" i="5"/>
  <c r="K45" i="4"/>
  <c r="I41" i="4"/>
  <c r="N49" i="5"/>
  <c r="L50" i="5"/>
  <c r="L51" i="5"/>
  <c r="L52" i="5"/>
  <c r="N50" i="5"/>
  <c r="N51" i="5"/>
  <c r="I33" i="4"/>
  <c r="N33" i="5"/>
  <c r="N34" i="5"/>
  <c r="N35" i="5"/>
  <c r="N32" i="5"/>
  <c r="L34" i="5"/>
  <c r="L35" i="5"/>
  <c r="L36" i="5"/>
  <c r="L37" i="5"/>
  <c r="L26" i="5"/>
  <c r="L27" i="5"/>
  <c r="L28" i="5"/>
  <c r="L29" i="5"/>
  <c r="L30" i="5"/>
  <c r="L33" i="5"/>
  <c r="F18" i="5"/>
  <c r="I39" i="4"/>
  <c r="I40" i="4"/>
  <c r="I38" i="4"/>
  <c r="K37" i="4"/>
  <c r="N112" i="5"/>
  <c r="N110" i="5"/>
  <c r="N96" i="5"/>
  <c r="N94" i="5"/>
  <c r="N80" i="5"/>
  <c r="N78" i="5"/>
  <c r="N65" i="5"/>
  <c r="N63" i="5"/>
  <c r="N47" i="5"/>
  <c r="N31" i="5"/>
  <c r="L112" i="5"/>
  <c r="L110" i="5"/>
  <c r="L96" i="5"/>
  <c r="L94" i="5"/>
  <c r="L80" i="5"/>
  <c r="L78" i="5"/>
  <c r="L65" i="5"/>
  <c r="L63" i="5"/>
  <c r="L49" i="5"/>
  <c r="L47" i="5"/>
  <c r="L31" i="5"/>
  <c r="C37" i="4" l="1"/>
  <c r="D37" i="4" s="1"/>
  <c r="D32" i="4"/>
  <c r="C24" i="4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C61" i="4"/>
  <c r="C69" i="4"/>
  <c r="D69" i="4" s="1"/>
  <c r="C45" i="4"/>
  <c r="D45" i="4" s="1"/>
  <c r="C53" i="4"/>
  <c r="E37" i="4" l="1"/>
  <c r="E32" i="4"/>
  <c r="D24" i="4"/>
  <c r="E69" i="4"/>
  <c r="D61" i="4"/>
  <c r="E45" i="4"/>
  <c r="F37" i="4" l="1"/>
  <c r="F32" i="4"/>
  <c r="E24" i="4"/>
  <c r="F69" i="4"/>
  <c r="E61" i="4"/>
  <c r="F45" i="4"/>
  <c r="G32" i="4" l="1"/>
  <c r="G24" i="4" s="1"/>
  <c r="F24" i="4"/>
  <c r="G37" i="4"/>
  <c r="G69" i="4"/>
  <c r="F61" i="4"/>
  <c r="G45" i="4"/>
  <c r="G61" i="4" l="1"/>
  <c r="K29" i="4" l="1"/>
  <c r="C13" i="4"/>
  <c r="D13" i="4" s="1"/>
  <c r="E13" i="4" s="1"/>
  <c r="F13" i="4" s="1"/>
  <c r="G13" i="4" s="1"/>
  <c r="I32" i="4"/>
  <c r="I31" i="4"/>
  <c r="D53" i="4"/>
  <c r="I29" i="4"/>
  <c r="I21" i="4" s="1"/>
  <c r="I22" i="4" s="1"/>
  <c r="I22" i="5"/>
  <c r="L116" i="5"/>
  <c r="N105" i="5"/>
  <c r="N106" i="5"/>
  <c r="N107" i="5"/>
  <c r="N109" i="5"/>
  <c r="N111" i="5"/>
  <c r="N114" i="5"/>
  <c r="L104" i="5"/>
  <c r="L105" i="5"/>
  <c r="L106" i="5"/>
  <c r="L107" i="5"/>
  <c r="L108" i="5"/>
  <c r="L109" i="5"/>
  <c r="L111" i="5"/>
  <c r="L103" i="5"/>
  <c r="N89" i="5"/>
  <c r="N90" i="5"/>
  <c r="N91" i="5"/>
  <c r="N93" i="5"/>
  <c r="N95" i="5"/>
  <c r="L88" i="5"/>
  <c r="L89" i="5"/>
  <c r="L90" i="5"/>
  <c r="L91" i="5"/>
  <c r="L92" i="5"/>
  <c r="L93" i="5"/>
  <c r="L95" i="5"/>
  <c r="L87" i="5"/>
  <c r="N73" i="5"/>
  <c r="N74" i="5"/>
  <c r="N75" i="5"/>
  <c r="N77" i="5"/>
  <c r="N79" i="5"/>
  <c r="N82" i="5"/>
  <c r="L84" i="5"/>
  <c r="L72" i="5"/>
  <c r="L73" i="5"/>
  <c r="L74" i="5"/>
  <c r="L75" i="5"/>
  <c r="L76" i="5"/>
  <c r="L77" i="5"/>
  <c r="L79" i="5"/>
  <c r="N58" i="5"/>
  <c r="N59" i="5"/>
  <c r="N60" i="5"/>
  <c r="N62" i="5"/>
  <c r="N64" i="5"/>
  <c r="N67" i="5"/>
  <c r="L71" i="5"/>
  <c r="L69" i="5"/>
  <c r="L57" i="5"/>
  <c r="L58" i="5"/>
  <c r="L59" i="5"/>
  <c r="L60" i="5"/>
  <c r="L61" i="5"/>
  <c r="L62" i="5"/>
  <c r="L64" i="5"/>
  <c r="N46" i="5"/>
  <c r="N43" i="5"/>
  <c r="N44" i="5"/>
  <c r="N48" i="5"/>
  <c r="N42" i="5"/>
  <c r="N27" i="5"/>
  <c r="N28" i="5"/>
  <c r="N30" i="5"/>
  <c r="L56" i="5"/>
  <c r="L41" i="5"/>
  <c r="L42" i="5"/>
  <c r="L43" i="5"/>
  <c r="L44" i="5"/>
  <c r="L45" i="5"/>
  <c r="L46" i="5"/>
  <c r="L48" i="5"/>
  <c r="L53" i="5"/>
  <c r="L40" i="5"/>
  <c r="L25" i="5"/>
  <c r="L32" i="5"/>
  <c r="N26" i="5"/>
  <c r="L24" i="5"/>
  <c r="C31" i="4" l="1"/>
  <c r="C29" i="4"/>
  <c r="C47" i="4"/>
  <c r="D47" i="4" s="1"/>
  <c r="E47" i="4" s="1"/>
  <c r="F47" i="4" s="1"/>
  <c r="G47" i="4" s="1"/>
  <c r="C55" i="4"/>
  <c r="D55" i="4" s="1"/>
  <c r="E55" i="4" s="1"/>
  <c r="F55" i="4" s="1"/>
  <c r="G55" i="4" s="1"/>
  <c r="C71" i="4"/>
  <c r="D71" i="4" s="1"/>
  <c r="E71" i="4" s="1"/>
  <c r="F71" i="4" s="1"/>
  <c r="G71" i="4" s="1"/>
  <c r="C63" i="4"/>
  <c r="D63" i="4" s="1"/>
  <c r="E63" i="4" s="1"/>
  <c r="F63" i="4" s="1"/>
  <c r="G63" i="4" s="1"/>
  <c r="C39" i="4"/>
  <c r="D39" i="4" s="1"/>
  <c r="E39" i="4" s="1"/>
  <c r="F39" i="4" s="1"/>
  <c r="G39" i="4" s="1"/>
  <c r="B60" i="4"/>
  <c r="B61" i="4" s="1"/>
  <c r="B68" i="4"/>
  <c r="B69" i="4" s="1"/>
  <c r="B36" i="4"/>
  <c r="H38" i="4" s="1"/>
  <c r="B44" i="4"/>
  <c r="H49" i="4" s="1"/>
  <c r="B52" i="4"/>
  <c r="H54" i="4" s="1"/>
  <c r="I23" i="4"/>
  <c r="E53" i="4"/>
  <c r="M18" i="5"/>
  <c r="C8" i="4"/>
  <c r="M19" i="5"/>
  <c r="C10" i="4" s="1"/>
  <c r="B62" i="4" l="1"/>
  <c r="H61" i="4"/>
  <c r="D10" i="4"/>
  <c r="E10" i="4" s="1"/>
  <c r="F10" i="4" s="1"/>
  <c r="C23" i="4"/>
  <c r="D26" i="2" s="1"/>
  <c r="B54" i="4"/>
  <c r="H56" i="4"/>
  <c r="B72" i="4"/>
  <c r="H39" i="4"/>
  <c r="H70" i="4"/>
  <c r="H55" i="4"/>
  <c r="B39" i="4"/>
  <c r="H64" i="4"/>
  <c r="H53" i="4"/>
  <c r="H40" i="4"/>
  <c r="B53" i="4"/>
  <c r="B40" i="4"/>
  <c r="B63" i="4"/>
  <c r="B47" i="4"/>
  <c r="H47" i="4"/>
  <c r="H71" i="4"/>
  <c r="C21" i="4"/>
  <c r="H57" i="4"/>
  <c r="B56" i="4"/>
  <c r="H41" i="4"/>
  <c r="B37" i="4"/>
  <c r="B64" i="4"/>
  <c r="H65" i="4"/>
  <c r="B55" i="4"/>
  <c r="B38" i="4"/>
  <c r="H37" i="4"/>
  <c r="H62" i="4"/>
  <c r="B46" i="4"/>
  <c r="B71" i="4"/>
  <c r="B45" i="4"/>
  <c r="B70" i="4"/>
  <c r="B48" i="4"/>
  <c r="H45" i="4"/>
  <c r="H69" i="4"/>
  <c r="H72" i="4"/>
  <c r="H46" i="4"/>
  <c r="H48" i="4"/>
  <c r="H73" i="4"/>
  <c r="L48" i="4"/>
  <c r="L45" i="4"/>
  <c r="L47" i="4"/>
  <c r="L50" i="4"/>
  <c r="L46" i="4"/>
  <c r="L49" i="4"/>
  <c r="L74" i="4"/>
  <c r="L70" i="4"/>
  <c r="L73" i="4"/>
  <c r="L69" i="4"/>
  <c r="L72" i="4"/>
  <c r="L71" i="4"/>
  <c r="L58" i="4"/>
  <c r="L54" i="4"/>
  <c r="L57" i="4"/>
  <c r="L53" i="4"/>
  <c r="L55" i="4"/>
  <c r="L56" i="4"/>
  <c r="L42" i="4"/>
  <c r="L38" i="4"/>
  <c r="L41" i="4"/>
  <c r="L37" i="4"/>
  <c r="L39" i="4"/>
  <c r="L40" i="4"/>
  <c r="H63" i="4"/>
  <c r="L64" i="4"/>
  <c r="L61" i="4"/>
  <c r="L63" i="4"/>
  <c r="L65" i="4"/>
  <c r="L66" i="4"/>
  <c r="L62" i="4"/>
  <c r="J48" i="4"/>
  <c r="J47" i="4"/>
  <c r="J49" i="4"/>
  <c r="J50" i="4"/>
  <c r="J46" i="4"/>
  <c r="J45" i="4"/>
  <c r="J74" i="4"/>
  <c r="J70" i="4"/>
  <c r="J73" i="4"/>
  <c r="J69" i="4"/>
  <c r="J72" i="4"/>
  <c r="J71" i="4"/>
  <c r="J58" i="4"/>
  <c r="J54" i="4"/>
  <c r="J57" i="4"/>
  <c r="J53" i="4"/>
  <c r="J56" i="4"/>
  <c r="J55" i="4"/>
  <c r="J39" i="4"/>
  <c r="J38" i="4"/>
  <c r="J42" i="4"/>
  <c r="J37" i="4"/>
  <c r="J40" i="4"/>
  <c r="J41" i="4"/>
  <c r="J64" i="4"/>
  <c r="J63" i="4"/>
  <c r="J65" i="4"/>
  <c r="J66" i="4"/>
  <c r="J62" i="4"/>
  <c r="J61" i="4"/>
  <c r="D8" i="4"/>
  <c r="C20" i="4"/>
  <c r="D31" i="4"/>
  <c r="D23" i="4" s="1"/>
  <c r="F53" i="4"/>
  <c r="D29" i="4"/>
  <c r="F19" i="5"/>
  <c r="C18" i="2"/>
  <c r="D21" i="4" l="1"/>
  <c r="E26" i="2"/>
  <c r="F26" i="2" s="1"/>
  <c r="G26" i="2" s="1"/>
  <c r="H26" i="2" s="1"/>
  <c r="I26" i="2" s="1"/>
  <c r="J26" i="2" s="1"/>
  <c r="K26" i="2" s="1"/>
  <c r="L26" i="2" s="1"/>
  <c r="M26" i="2" s="1"/>
  <c r="E8" i="4"/>
  <c r="D20" i="4"/>
  <c r="E31" i="4"/>
  <c r="E23" i="4" s="1"/>
  <c r="G53" i="4"/>
  <c r="C9" i="4"/>
  <c r="E29" i="4"/>
  <c r="E21" i="4" l="1"/>
  <c r="F8" i="4"/>
  <c r="E20" i="4"/>
  <c r="F31" i="4"/>
  <c r="F23" i="4" s="1"/>
  <c r="D9" i="4"/>
  <c r="F29" i="4"/>
  <c r="F21" i="4" l="1"/>
  <c r="G8" i="4"/>
  <c r="G20" i="4" s="1"/>
  <c r="F20" i="4"/>
  <c r="G31" i="4"/>
  <c r="G23" i="4" s="1"/>
  <c r="G29" i="4"/>
  <c r="G21" i="4" l="1"/>
  <c r="G84" i="2"/>
  <c r="B42" i="2"/>
  <c r="H84" i="2"/>
  <c r="I84" i="2"/>
  <c r="J84" i="2"/>
  <c r="K84" i="2"/>
  <c r="L84" i="2"/>
  <c r="M84" i="2"/>
  <c r="N84" i="2"/>
  <c r="O84" i="2"/>
  <c r="P84" i="2"/>
  <c r="Q84" i="2"/>
  <c r="G10" i="4" l="1"/>
  <c r="C11" i="4"/>
  <c r="E9" i="4"/>
  <c r="R84" i="2"/>
  <c r="C20" i="2"/>
  <c r="C38" i="4" l="1"/>
  <c r="C62" i="4"/>
  <c r="C54" i="4"/>
  <c r="C46" i="4"/>
  <c r="C70" i="4"/>
  <c r="C30" i="4"/>
  <c r="D11" i="4"/>
  <c r="F9" i="4"/>
  <c r="E11" i="4"/>
  <c r="Q83" i="2"/>
  <c r="P83" i="2"/>
  <c r="O83" i="2"/>
  <c r="N83" i="2"/>
  <c r="M83" i="2"/>
  <c r="L83" i="2"/>
  <c r="K83" i="2"/>
  <c r="J83" i="2"/>
  <c r="I83" i="2"/>
  <c r="H83" i="2"/>
  <c r="G83" i="2"/>
  <c r="Q81" i="2"/>
  <c r="P81" i="2"/>
  <c r="O81" i="2"/>
  <c r="N81" i="2"/>
  <c r="M81" i="2"/>
  <c r="L81" i="2"/>
  <c r="K81" i="2"/>
  <c r="J81" i="2"/>
  <c r="I81" i="2"/>
  <c r="H81" i="2"/>
  <c r="Q80" i="2"/>
  <c r="P80" i="2"/>
  <c r="O80" i="2"/>
  <c r="N80" i="2"/>
  <c r="M80" i="2"/>
  <c r="L80" i="2"/>
  <c r="K80" i="2"/>
  <c r="J80" i="2"/>
  <c r="I80" i="2"/>
  <c r="H80" i="2"/>
  <c r="R80" i="2" s="1"/>
  <c r="M61" i="2"/>
  <c r="L61" i="2"/>
  <c r="K61" i="2"/>
  <c r="J61" i="2"/>
  <c r="I61" i="2"/>
  <c r="H61" i="2"/>
  <c r="G61" i="2"/>
  <c r="F61" i="2"/>
  <c r="E61" i="2"/>
  <c r="D61" i="2"/>
  <c r="M60" i="2"/>
  <c r="L60" i="2"/>
  <c r="K60" i="2"/>
  <c r="J60" i="2"/>
  <c r="I60" i="2"/>
  <c r="H60" i="2"/>
  <c r="G60" i="2"/>
  <c r="F60" i="2"/>
  <c r="E60" i="2"/>
  <c r="D60" i="2"/>
  <c r="M59" i="2"/>
  <c r="L59" i="2"/>
  <c r="K59" i="2"/>
  <c r="J59" i="2"/>
  <c r="I59" i="2"/>
  <c r="H59" i="2"/>
  <c r="G59" i="2"/>
  <c r="F59" i="2"/>
  <c r="E59" i="2"/>
  <c r="D59" i="2"/>
  <c r="M58" i="2"/>
  <c r="L58" i="2"/>
  <c r="K58" i="2"/>
  <c r="J58" i="2"/>
  <c r="I58" i="2"/>
  <c r="H58" i="2"/>
  <c r="G58" i="2"/>
  <c r="F58" i="2"/>
  <c r="E58" i="2"/>
  <c r="M57" i="2"/>
  <c r="L57" i="2"/>
  <c r="K57" i="2"/>
  <c r="J57" i="2"/>
  <c r="I57" i="2"/>
  <c r="H57" i="2"/>
  <c r="G57" i="2"/>
  <c r="F57" i="2"/>
  <c r="E57" i="2"/>
  <c r="D57" i="2"/>
  <c r="M56" i="2"/>
  <c r="L56" i="2"/>
  <c r="K56" i="2"/>
  <c r="J56" i="2"/>
  <c r="I56" i="2"/>
  <c r="H56" i="2"/>
  <c r="G56" i="2"/>
  <c r="F56" i="2"/>
  <c r="E56" i="2"/>
  <c r="D56" i="2"/>
  <c r="C38" i="2"/>
  <c r="C42" i="2" s="1"/>
  <c r="E28" i="2"/>
  <c r="M20" i="2"/>
  <c r="L20" i="2"/>
  <c r="K20" i="2"/>
  <c r="J20" i="2"/>
  <c r="I20" i="2"/>
  <c r="H20" i="2"/>
  <c r="G20" i="2"/>
  <c r="F20" i="2"/>
  <c r="E20" i="2"/>
  <c r="D20" i="2"/>
  <c r="C22" i="4" l="1"/>
  <c r="D70" i="4"/>
  <c r="D46" i="4"/>
  <c r="D38" i="4"/>
  <c r="D62" i="4"/>
  <c r="D54" i="4"/>
  <c r="D30" i="4"/>
  <c r="E46" i="4"/>
  <c r="E70" i="4"/>
  <c r="E38" i="4"/>
  <c r="E62" i="4"/>
  <c r="E54" i="4"/>
  <c r="E30" i="4"/>
  <c r="G9" i="4"/>
  <c r="F11" i="4"/>
  <c r="N60" i="2"/>
  <c r="N61" i="2"/>
  <c r="N57" i="2"/>
  <c r="N59" i="2"/>
  <c r="R83" i="2"/>
  <c r="C44" i="2"/>
  <c r="C48" i="2" s="1"/>
  <c r="G90" i="2" s="1"/>
  <c r="L62" i="2"/>
  <c r="L46" i="2" s="1"/>
  <c r="M62" i="2"/>
  <c r="M35" i="2" s="1"/>
  <c r="F62" i="2"/>
  <c r="F46" i="2" s="1"/>
  <c r="R81" i="2"/>
  <c r="I62" i="2"/>
  <c r="I35" i="2" s="1"/>
  <c r="N56" i="2"/>
  <c r="K62" i="2"/>
  <c r="K46" i="2" s="1"/>
  <c r="J62" i="2"/>
  <c r="J35" i="2" s="1"/>
  <c r="H62" i="2"/>
  <c r="H46" i="2" s="1"/>
  <c r="G62" i="2"/>
  <c r="G35" i="2" s="1"/>
  <c r="E62" i="2"/>
  <c r="E46" i="2" s="1"/>
  <c r="N58" i="2"/>
  <c r="D62" i="2"/>
  <c r="G29" i="2"/>
  <c r="I29" i="2"/>
  <c r="D29" i="2"/>
  <c r="M29" i="2"/>
  <c r="K29" i="2"/>
  <c r="J29" i="2"/>
  <c r="F29" i="2"/>
  <c r="H29" i="2"/>
  <c r="E29" i="2"/>
  <c r="L29" i="2"/>
  <c r="F70" i="4" l="1"/>
  <c r="F46" i="4"/>
  <c r="F38" i="4"/>
  <c r="F62" i="4"/>
  <c r="F54" i="4"/>
  <c r="F30" i="4"/>
  <c r="D22" i="4"/>
  <c r="E22" i="4"/>
  <c r="D27" i="2"/>
  <c r="D32" i="2" s="1"/>
  <c r="G11" i="4"/>
  <c r="L35" i="2"/>
  <c r="R85" i="2"/>
  <c r="M21" i="2" s="1"/>
  <c r="M46" i="2"/>
  <c r="F35" i="2"/>
  <c r="N62" i="2"/>
  <c r="N64" i="2" s="1"/>
  <c r="H35" i="2"/>
  <c r="J46" i="2"/>
  <c r="K35" i="2"/>
  <c r="I46" i="2"/>
  <c r="E35" i="2"/>
  <c r="G46" i="2"/>
  <c r="D46" i="2"/>
  <c r="D35" i="2"/>
  <c r="G70" i="4" l="1"/>
  <c r="G46" i="4"/>
  <c r="G38" i="4"/>
  <c r="G62" i="4"/>
  <c r="G54" i="4"/>
  <c r="G30" i="4"/>
  <c r="F22" i="4"/>
  <c r="E27" i="2"/>
  <c r="D38" i="2"/>
  <c r="D42" i="2" s="1"/>
  <c r="D44" i="2" s="1"/>
  <c r="D48" i="2" s="1"/>
  <c r="N66" i="2"/>
  <c r="M41" i="2" s="1"/>
  <c r="G22" i="4" l="1"/>
  <c r="F27" i="2"/>
  <c r="E32" i="2"/>
  <c r="E38" i="2" s="1"/>
  <c r="E42" i="2" s="1"/>
  <c r="E44" i="2" s="1"/>
  <c r="E48" i="2" s="1"/>
  <c r="I90" i="2" s="1"/>
  <c r="H90" i="2"/>
  <c r="H92" i="2" s="1"/>
  <c r="I92" i="2" l="1"/>
  <c r="G27" i="2"/>
  <c r="F32" i="2"/>
  <c r="F38" i="2" s="1"/>
  <c r="F42" i="2" s="1"/>
  <c r="F44" i="2" s="1"/>
  <c r="F48" i="2" s="1"/>
  <c r="J90" i="2" s="1"/>
  <c r="G94" i="2"/>
  <c r="H94" i="2" s="1"/>
  <c r="J92" i="2" l="1"/>
  <c r="H27" i="2"/>
  <c r="G32" i="2"/>
  <c r="G38" i="2" s="1"/>
  <c r="G42" i="2" s="1"/>
  <c r="G44" i="2" s="1"/>
  <c r="G48" i="2" s="1"/>
  <c r="I94" i="2"/>
  <c r="K90" i="2" l="1"/>
  <c r="K92" i="2" s="1"/>
  <c r="I27" i="2"/>
  <c r="H32" i="2"/>
  <c r="H38" i="2" s="1"/>
  <c r="H42" i="2" s="1"/>
  <c r="H44" i="2" s="1"/>
  <c r="H48" i="2" s="1"/>
  <c r="L90" i="2" s="1"/>
  <c r="L92" i="2" l="1"/>
  <c r="J94" i="2"/>
  <c r="K94" i="2" s="1"/>
  <c r="J27" i="2"/>
  <c r="I32" i="2"/>
  <c r="I38" i="2" s="1"/>
  <c r="I42" i="2" s="1"/>
  <c r="I44" i="2" s="1"/>
  <c r="I48" i="2" s="1"/>
  <c r="M90" i="2" s="1"/>
  <c r="M92" i="2" l="1"/>
  <c r="K27" i="2"/>
  <c r="J32" i="2"/>
  <c r="J38" i="2" s="1"/>
  <c r="J42" i="2" s="1"/>
  <c r="J44" i="2" s="1"/>
  <c r="J48" i="2" s="1"/>
  <c r="N90" i="2" s="1"/>
  <c r="L94" i="2"/>
  <c r="N92" i="2" l="1"/>
  <c r="L27" i="2"/>
  <c r="K32" i="2"/>
  <c r="K38" i="2" s="1"/>
  <c r="K42" i="2" s="1"/>
  <c r="K44" i="2" s="1"/>
  <c r="K48" i="2" s="1"/>
  <c r="O90" i="2" s="1"/>
  <c r="M94" i="2"/>
  <c r="O92" i="2" l="1"/>
  <c r="M27" i="2"/>
  <c r="M32" i="2" s="1"/>
  <c r="M38" i="2" s="1"/>
  <c r="M42" i="2" s="1"/>
  <c r="M44" i="2" s="1"/>
  <c r="M48" i="2" s="1"/>
  <c r="L32" i="2"/>
  <c r="L38" i="2" s="1"/>
  <c r="L42" i="2" s="1"/>
  <c r="L44" i="2" s="1"/>
  <c r="L48" i="2" s="1"/>
  <c r="P90" i="2" s="1"/>
  <c r="N94" i="2"/>
  <c r="P92" i="2" l="1"/>
  <c r="Q90" i="2"/>
  <c r="C51" i="2"/>
  <c r="C50" i="2"/>
  <c r="O94" i="2"/>
  <c r="Q92" i="2" l="1"/>
  <c r="Q94" i="2" s="1"/>
  <c r="P94" i="2"/>
  <c r="C52" i="2" l="1"/>
</calcChain>
</file>

<file path=xl/sharedStrings.xml><?xml version="1.0" encoding="utf-8"?>
<sst xmlns="http://schemas.openxmlformats.org/spreadsheetml/2006/main" count="408" uniqueCount="201">
  <si>
    <t>Tax Rate</t>
  </si>
  <si>
    <t>%</t>
  </si>
  <si>
    <t>INVESTMENT</t>
  </si>
  <si>
    <t xml:space="preserve"> </t>
  </si>
  <si>
    <t>Purchase Land</t>
  </si>
  <si>
    <t>Purchase Building</t>
  </si>
  <si>
    <t>Purchase Existing Equipment</t>
  </si>
  <si>
    <t>New, replacement equipment</t>
  </si>
  <si>
    <t>Building Leasehold</t>
  </si>
  <si>
    <t>Land Improvement</t>
  </si>
  <si>
    <t>Computer Hardware</t>
  </si>
  <si>
    <t>Computer Software</t>
  </si>
  <si>
    <t xml:space="preserve">Inventory </t>
  </si>
  <si>
    <t>TOTAL INVESTMENT</t>
  </si>
  <si>
    <t>RESIDUAL VALUE  (including investment &amp; exluding inventory and startup cost)</t>
  </si>
  <si>
    <t xml:space="preserve">   </t>
  </si>
  <si>
    <t>BENEFITS / (COSTS)</t>
  </si>
  <si>
    <t xml:space="preserve">  </t>
  </si>
  <si>
    <t>Property Tax / Insurance</t>
  </si>
  <si>
    <t>Maintenance / Equipment</t>
  </si>
  <si>
    <t>NET SAVINGS</t>
  </si>
  <si>
    <t xml:space="preserve">TOTAL DEPRECIATION  </t>
  </si>
  <si>
    <t>SUB TOTAL  Before Taxes</t>
  </si>
  <si>
    <t>TAXES</t>
  </si>
  <si>
    <t xml:space="preserve">  Tax On Gain  </t>
  </si>
  <si>
    <t xml:space="preserve">  Tax (Expense) / Benefit</t>
  </si>
  <si>
    <t xml:space="preserve">      </t>
  </si>
  <si>
    <t>SUB TOTAL  After Taxes</t>
  </si>
  <si>
    <t>ADD BACK DEPRECIATION / AMORTIZATION</t>
  </si>
  <si>
    <t>AFTER-TAX CASH FLOW</t>
  </si>
  <si>
    <t>AFTER-TAX IRR</t>
  </si>
  <si>
    <t>(2) DEPRECIATION</t>
  </si>
  <si>
    <t>Accum Depr</t>
  </si>
  <si>
    <t xml:space="preserve">        Building  (39-year straight line)</t>
  </si>
  <si>
    <t xml:space="preserve">        Building Leasehold  (39-year straight line)</t>
  </si>
  <si>
    <t xml:space="preserve">        Equipment (7-year MACRS)</t>
  </si>
  <si>
    <t xml:space="preserve">        Computer Software   (3-year straight line)</t>
  </si>
  <si>
    <t xml:space="preserve">        Startup Costs</t>
  </si>
  <si>
    <t xml:space="preserve">  TOTAL DEPRECIATION</t>
  </si>
  <si>
    <t>Tax basis</t>
  </si>
  <si>
    <t>Gain</t>
  </si>
  <si>
    <t>Depreciation Schedule (7-year MACRS)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</si>
  <si>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</si>
  <si>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</si>
  <si>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</si>
  <si>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</si>
  <si>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</si>
  <si>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</si>
  <si>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</si>
  <si>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</si>
  <si>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</si>
  <si>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Residual Value by Year</t>
  </si>
  <si>
    <t>Year 9</t>
  </si>
  <si>
    <t>Year 10</t>
  </si>
  <si>
    <t>Total</t>
  </si>
  <si>
    <t>New, Replacement Equipment</t>
  </si>
  <si>
    <t>Cash Flow</t>
  </si>
  <si>
    <t>Payback Period (yrs)</t>
  </si>
  <si>
    <t>PAYBACK PERIOD (Yrs)</t>
  </si>
  <si>
    <t xml:space="preserve">        Computer Hardware  (5-year MACRS)</t>
  </si>
  <si>
    <t>Depreciation Schedule (5-year MACRS)</t>
  </si>
  <si>
    <t>Cell Link</t>
  </si>
  <si>
    <t>Plant</t>
  </si>
  <si>
    <t>Select Plant</t>
  </si>
  <si>
    <t>Startup Costs/Expense</t>
  </si>
  <si>
    <t>O&amp;M Costs</t>
  </si>
  <si>
    <t>Water/Sewer Savings</t>
  </si>
  <si>
    <t>kWh</t>
  </si>
  <si>
    <t>Electricity Costs</t>
  </si>
  <si>
    <t>NPV @</t>
  </si>
  <si>
    <t>Corporate</t>
  </si>
  <si>
    <t>Distributor</t>
  </si>
  <si>
    <t>Lab</t>
  </si>
  <si>
    <t>Client Data</t>
  </si>
  <si>
    <t xml:space="preserve">City/Municipal Water Supply </t>
  </si>
  <si>
    <t xml:space="preserve">Notes: </t>
  </si>
  <si>
    <t xml:space="preserve">Total Use: </t>
  </si>
  <si>
    <t>CCF(HCF)</t>
  </si>
  <si>
    <t xml:space="preserve">Total Cost: </t>
  </si>
  <si>
    <t>USD</t>
  </si>
  <si>
    <t xml:space="preserve">City/Municipal Sewer </t>
  </si>
  <si>
    <t xml:space="preserve">Facility </t>
  </si>
  <si>
    <t>Client:</t>
  </si>
  <si>
    <t xml:space="preserve">Date: </t>
  </si>
  <si>
    <t xml:space="preserve">By: </t>
  </si>
  <si>
    <t xml:space="preserve">No. of Homogenizers: </t>
  </si>
  <si>
    <t xml:space="preserve">Spatial Contraints: </t>
  </si>
  <si>
    <t>Integration Requirements:</t>
  </si>
  <si>
    <t xml:space="preserve"> Availiable Network Access:</t>
  </si>
  <si>
    <t>Deg. F</t>
  </si>
  <si>
    <t>Name:</t>
  </si>
  <si>
    <t>Homogenizer 01</t>
  </si>
  <si>
    <t>GPM</t>
  </si>
  <si>
    <t>Run Hours:</t>
  </si>
  <si>
    <t>Run Days:</t>
  </si>
  <si>
    <t>Run Weeks:</t>
  </si>
  <si>
    <t>Homogenizer 02</t>
  </si>
  <si>
    <t>Homogenizer 03</t>
  </si>
  <si>
    <t>Homogenizer 06</t>
  </si>
  <si>
    <t>Homogenizer 05</t>
  </si>
  <si>
    <t>Homogenizer 04</t>
  </si>
  <si>
    <t>GAL</t>
  </si>
  <si>
    <t xml:space="preserve">Sewer Cost: </t>
  </si>
  <si>
    <t>Total Use:</t>
  </si>
  <si>
    <t>Temp. of Medium:</t>
  </si>
  <si>
    <t>Notes:</t>
  </si>
  <si>
    <t xml:space="preserve">Electrical Power </t>
  </si>
  <si>
    <t xml:space="preserve">3-Phase </t>
  </si>
  <si>
    <t>Temp. Requirement:</t>
  </si>
  <si>
    <t xml:space="preserve">Deg. F </t>
  </si>
  <si>
    <t>Homogenizer Make/Model:</t>
  </si>
  <si>
    <t>/Day</t>
  </si>
  <si>
    <t>/Week</t>
  </si>
  <si>
    <t>/Year</t>
  </si>
  <si>
    <t>Temp. Requirement 02 (Pistons):</t>
  </si>
  <si>
    <t>No. of Water Supplies:</t>
  </si>
  <si>
    <t>Water Supply Flow Rate:</t>
  </si>
  <si>
    <t>Water Supply Flow Rate 02 (Pistons:</t>
  </si>
  <si>
    <t>V (3-Phase)</t>
  </si>
  <si>
    <t xml:space="preserve">Annual Growth Rate (Electric): </t>
  </si>
  <si>
    <t xml:space="preserve">Electric Rate (kWh): </t>
  </si>
  <si>
    <t xml:space="preserve">Annual Growth Rate (Water/Sewer): </t>
  </si>
  <si>
    <t xml:space="preserve">Total Water/Sewer (per GAL): </t>
  </si>
  <si>
    <t xml:space="preserve">Total Flow Rate (GPM): </t>
  </si>
  <si>
    <t xml:space="preserve">Electrical Supply (V): </t>
  </si>
  <si>
    <t xml:space="preserve">Run Hours/Day (Hours): </t>
  </si>
  <si>
    <t xml:space="preserve">Run Days/Week (Days): </t>
  </si>
  <si>
    <t xml:space="preserve">Run Weeks/Year (Weeks): </t>
  </si>
  <si>
    <t xml:space="preserve">Model: </t>
  </si>
  <si>
    <t xml:space="preserve"> Available Cooling Medium </t>
  </si>
  <si>
    <t>Data Validation - Lists</t>
  </si>
  <si>
    <t>Power Available:</t>
  </si>
  <si>
    <t xml:space="preserve">Annual Analysis </t>
  </si>
  <si>
    <t xml:space="preserve">Sewer Rate (per GAL): </t>
  </si>
  <si>
    <t xml:space="preserve">Water Rate (per GAL): </t>
  </si>
  <si>
    <t xml:space="preserve">Corporate Discount Rate: </t>
  </si>
  <si>
    <t xml:space="preserve">Year: </t>
  </si>
  <si>
    <t xml:space="preserve">Annual Gallons Saved: </t>
  </si>
  <si>
    <t xml:space="preserve">Electric Cost: </t>
  </si>
  <si>
    <t xml:space="preserve">Annual Water/Sewer Savings: </t>
  </si>
  <si>
    <t xml:space="preserve"> Shipping Cost: </t>
  </si>
  <si>
    <t xml:space="preserve">System Model: </t>
  </si>
  <si>
    <t xml:space="preserve">System Cost: </t>
  </si>
  <si>
    <t xml:space="preserve">Water Recapture Rate: </t>
  </si>
  <si>
    <t xml:space="preserve">System Amperage (A): </t>
  </si>
  <si>
    <t xml:space="preserve">Serial No: </t>
  </si>
  <si>
    <t>Month(s)</t>
  </si>
  <si>
    <t>Homogenizer Effluent Temp.</t>
  </si>
  <si>
    <t xml:space="preserve">Total Annual Financial Savings: </t>
  </si>
  <si>
    <t xml:space="preserve">O&amp;M (Parts) Cost: </t>
  </si>
  <si>
    <t xml:space="preserve">Total Annual Gallon Savings: </t>
  </si>
  <si>
    <t xml:space="preserve">Total Annual O&amp;M Cost: </t>
  </si>
  <si>
    <t xml:space="preserve">Total Annual Run Hours: </t>
  </si>
  <si>
    <t xml:space="preserve">Total Inst. Flow Rate (GPM): </t>
  </si>
  <si>
    <t xml:space="preserve">Total System Cost: </t>
  </si>
  <si>
    <t xml:space="preserve">Total Shipping Cost: </t>
  </si>
  <si>
    <t>Total Installation Cost:</t>
  </si>
  <si>
    <t xml:space="preserve"> Installation Cost: </t>
  </si>
  <si>
    <t xml:space="preserve">Integration Service Cost: </t>
  </si>
  <si>
    <t>Total Integration Service:</t>
  </si>
  <si>
    <t xml:space="preserve">Est. Annual O&amp;M Cost (Filters &amp; Bulbs): </t>
  </si>
  <si>
    <t xml:space="preserve">Average Flow Rate (GPM/System): </t>
  </si>
  <si>
    <t xml:space="preserve">Total Est. Annual Parts Cost: </t>
  </si>
  <si>
    <t xml:space="preserve">Average System Power (A): </t>
  </si>
  <si>
    <t xml:space="preserve">Average Water Recapture Rate: </t>
  </si>
  <si>
    <t xml:space="preserve">Annual Esc. Rate (Parts): </t>
  </si>
  <si>
    <t xml:space="preserve">Average Annual Esc. Rate (Parts): </t>
  </si>
  <si>
    <t>None</t>
  </si>
  <si>
    <t>Glycol</t>
  </si>
  <si>
    <t>Chill Water</t>
  </si>
  <si>
    <t xml:space="preserve">Time: </t>
  </si>
  <si>
    <t>Address:</t>
  </si>
  <si>
    <t xml:space="preserve">Address Line 2: </t>
  </si>
  <si>
    <t xml:space="preserve">City, State, Zip: </t>
  </si>
  <si>
    <t>USD/kWh</t>
  </si>
  <si>
    <t>USD/GAL</t>
  </si>
  <si>
    <t xml:space="preserve"> Utility Name: </t>
  </si>
  <si>
    <t xml:space="preserve"> Facility Name: </t>
  </si>
  <si>
    <t xml:space="preserve">Issued: </t>
  </si>
  <si>
    <t xml:space="preserve">Doc. No: </t>
  </si>
  <si>
    <t xml:space="preserve">Version: </t>
  </si>
  <si>
    <t>Blue Way Tech. LLC</t>
  </si>
  <si>
    <t>000A</t>
  </si>
  <si>
    <t>HWRS-PROF-GEN</t>
  </si>
  <si>
    <t>PSI</t>
  </si>
  <si>
    <t xml:space="preserve"> Average Pressure: </t>
  </si>
  <si>
    <t xml:space="preserve"> Available Supply: </t>
  </si>
  <si>
    <t xml:space="preserve">Sample Period: </t>
  </si>
  <si>
    <t xml:space="preserve">Water Cost: </t>
  </si>
  <si>
    <t xml:space="preserve">Power Cost: </t>
  </si>
  <si>
    <t xml:space="preserve">Total Cost:  </t>
  </si>
  <si>
    <t xml:space="preserve">Sample Period:  </t>
  </si>
  <si>
    <t xml:space="preserve">Total Use:  </t>
  </si>
  <si>
    <t xml:space="preserve">Quality Issues?: </t>
  </si>
  <si>
    <t xml:space="preserve">Utility Rate Data: </t>
  </si>
  <si>
    <t>Homogenizers</t>
  </si>
  <si>
    <t xml:space="preserve">Distributor HWRS Data </t>
  </si>
  <si>
    <t xml:space="preserve">Blueway HWRS Data </t>
  </si>
  <si>
    <t xml:space="preserve">Total Annual Electrical Costs: </t>
  </si>
  <si>
    <t>HWRS-S+-V5</t>
  </si>
  <si>
    <t xml:space="preserve">Hight of Outlet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</si>
</sst>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h:mm\ AM/PM"/>
    <numFmt numFmtId="166" formatCode="0.0%"/>
    <numFmt numFmtId="167" formatCode="&quot;$&quot;#,##0"/>
    <numFmt numFmtId="168" formatCode="&quot;$&quot;#,##0.00"/>
    <numFmt numFmtId="169" formatCode="0.0000"/>
    <numFmt numFmtId="170" formatCode="0.00000"/>
    <numFmt numFmtId="171" formatCode="_(&quot;$&quot;* #,##0_);_(&quot;$&quot;* \(#,##0\);_(&quot;$&quot;* &quot;-&quot;??_);_(@_)"/>
    <numFmt numFmtId="172" formatCode="&quot;$&quot;#,##0.0"/>
    <numFmt numFmtId="173" formatCode="&quot;$&quot;#,##0.000000"/>
    <numFmt numFmtId="174" formatCode="_(&quot;$&quot;* #,##0.0000_);_(&quot;$&quot;* \(#,##0.0000\);_(&quot;$&quot;* &quot;-&quot;??_);_(@_)"/>
    <numFmt numFmtId="175" formatCode="_(* #,##0_);_(* \(#,##0\);_(* &quot;-&quot;??_);_(@_)"/>
    <numFmt numFmtId="176" formatCode="&quot;$&quot;#,##0.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2"/>
      <name val="Garamond"/>
      <family val="1"/>
    </font>
    <font>
      <b/>
      <sz val="10"/>
      <name val="Garamond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Garamond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Bahnschrift"/>
      <family val="2"/>
    </font>
    <font>
      <sz val="14"/>
      <name val="Bahnschrift"/>
      <family val="2"/>
    </font>
    <font>
      <sz val="10"/>
      <color theme="1"/>
      <name val="Bahnschrift"/>
      <family val="2"/>
    </font>
    <font>
      <b/>
      <u/>
      <sz val="10"/>
      <name val="Bahnschrift"/>
      <family val="2"/>
    </font>
    <font>
      <b/>
      <sz val="10"/>
      <name val="Bahnschrift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47"/>
      </left>
      <right/>
      <top style="medium">
        <color indexed="47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/>
    <xf numFmtId="0" fontId="3" fillId="0" borderId="0" xfId="0" applyNumberFormat="1" applyFont="1" applyAlignment="1"/>
    <xf numFmtId="0" fontId="0" fillId="0" borderId="2" xfId="0" applyNumberFormat="1" applyFont="1" applyBorder="1" applyAlignment="1"/>
    <xf numFmtId="167" fontId="0" fillId="2" borderId="3" xfId="0" applyNumberFormat="1" applyFont="1" applyFill="1" applyBorder="1" applyAlignment="1"/>
    <xf numFmtId="166" fontId="3" fillId="2" borderId="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167" fontId="0" fillId="2" borderId="1" xfId="0" applyNumberFormat="1" applyFont="1" applyFill="1" applyBorder="1" applyAlignment="1"/>
    <xf numFmtId="0" fontId="3" fillId="0" borderId="2" xfId="0" applyNumberFormat="1" applyFont="1" applyBorder="1" applyAlignment="1"/>
    <xf numFmtId="167" fontId="0" fillId="0" borderId="2" xfId="0" applyNumberFormat="1" applyFont="1" applyBorder="1" applyAlignment="1"/>
    <xf numFmtId="169" fontId="0" fillId="0" borderId="1" xfId="0" applyNumberFormat="1" applyFont="1" applyBorder="1" applyAlignment="1"/>
    <xf numFmtId="0" fontId="3" fillId="0" borderId="1" xfId="0" applyNumberFormat="1" applyFont="1" applyBorder="1" applyAlignment="1"/>
    <xf numFmtId="167" fontId="0" fillId="0" borderId="1" xfId="0" applyNumberFormat="1" applyFont="1" applyBorder="1" applyAlignment="1"/>
    <xf numFmtId="3" fontId="0" fillId="0" borderId="1" xfId="0" applyNumberFormat="1" applyFont="1" applyBorder="1" applyAlignment="1"/>
    <xf numFmtId="0" fontId="0" fillId="0" borderId="0" xfId="0" applyNumberFormat="1" applyFont="1" applyBorder="1" applyAlignment="1"/>
    <xf numFmtId="0" fontId="3" fillId="0" borderId="0" xfId="0" applyNumberFormat="1" applyFont="1" applyBorder="1" applyAlignment="1"/>
    <xf numFmtId="167" fontId="0" fillId="0" borderId="0" xfId="0" applyNumberFormat="1" applyFont="1" applyBorder="1" applyAlignment="1"/>
    <xf numFmtId="16" fontId="7" fillId="3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3" borderId="7" xfId="0" applyFill="1" applyBorder="1"/>
    <xf numFmtId="0" fontId="0" fillId="3" borderId="0" xfId="0" applyFill="1" applyBorder="1"/>
    <xf numFmtId="0" fontId="0" fillId="0" borderId="9" xfId="0" applyBorder="1"/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/>
    </xf>
    <xf numFmtId="0" fontId="10" fillId="0" borderId="0" xfId="0" applyFont="1" applyBorder="1" applyAlignment="1"/>
    <xf numFmtId="10" fontId="10" fillId="0" borderId="0" xfId="0" applyNumberFormat="1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10" fillId="0" borderId="12" xfId="0" applyFont="1" applyFill="1" applyBorder="1" applyAlignment="1"/>
    <xf numFmtId="10" fontId="10" fillId="0" borderId="12" xfId="0" applyNumberFormat="1" applyFont="1" applyFill="1" applyBorder="1" applyAlignment="1">
      <alignment horizontal="right"/>
    </xf>
    <xf numFmtId="0" fontId="6" fillId="0" borderId="4" xfId="0" applyNumberFormat="1" applyFont="1" applyBorder="1" applyAlignment="1"/>
    <xf numFmtId="0" fontId="6" fillId="0" borderId="5" xfId="0" applyNumberFormat="1" applyFont="1" applyBorder="1" applyAlignment="1"/>
    <xf numFmtId="10" fontId="6" fillId="4" borderId="6" xfId="0" applyNumberFormat="1" applyFont="1" applyFill="1" applyBorder="1" applyAlignment="1">
      <alignment horizontal="right"/>
    </xf>
    <xf numFmtId="0" fontId="6" fillId="0" borderId="7" xfId="0" applyNumberFormat="1" applyFont="1" applyBorder="1" applyAlignment="1"/>
    <xf numFmtId="167" fontId="6" fillId="4" borderId="8" xfId="0" applyNumberFormat="1" applyFont="1" applyFill="1" applyBorder="1" applyAlignment="1"/>
    <xf numFmtId="0" fontId="6" fillId="0" borderId="9" xfId="0" applyNumberFormat="1" applyFont="1" applyBorder="1" applyAlignment="1"/>
    <xf numFmtId="0" fontId="6" fillId="0" borderId="12" xfId="0" applyNumberFormat="1" applyFont="1" applyBorder="1" applyAlignment="1"/>
    <xf numFmtId="4" fontId="6" fillId="4" borderId="13" xfId="0" applyNumberFormat="1" applyFont="1" applyFill="1" applyBorder="1" applyAlignment="1">
      <alignment horizontal="right"/>
    </xf>
    <xf numFmtId="44" fontId="0" fillId="0" borderId="0" xfId="0" applyNumberFormat="1"/>
    <xf numFmtId="4" fontId="0" fillId="0" borderId="0" xfId="0" applyNumberForma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174" fontId="0" fillId="0" borderId="0" xfId="0" applyNumberFormat="1"/>
    <xf numFmtId="0" fontId="15" fillId="0" borderId="0" xfId="0" applyFont="1" applyBorder="1"/>
    <xf numFmtId="173" fontId="15" fillId="0" borderId="0" xfId="0" applyNumberFormat="1" applyFont="1" applyBorder="1"/>
    <xf numFmtId="0" fontId="15" fillId="0" borderId="0" xfId="0" applyFont="1" applyFill="1" applyBorder="1"/>
    <xf numFmtId="2" fontId="15" fillId="0" borderId="0" xfId="0" applyNumberFormat="1" applyFont="1" applyBorder="1"/>
    <xf numFmtId="2" fontId="15" fillId="0" borderId="0" xfId="0" applyNumberFormat="1" applyFont="1" applyFill="1" applyBorder="1"/>
    <xf numFmtId="44" fontId="15" fillId="0" borderId="0" xfId="1" applyFont="1" applyBorder="1"/>
    <xf numFmtId="0" fontId="18" fillId="0" borderId="0" xfId="0" applyFont="1" applyBorder="1"/>
    <xf numFmtId="0" fontId="15" fillId="0" borderId="0" xfId="0" applyFont="1" applyFill="1" applyAlignment="1">
      <alignment horizontal="right"/>
    </xf>
    <xf numFmtId="176" fontId="15" fillId="0" borderId="0" xfId="0" applyNumberFormat="1" applyFont="1" applyBorder="1"/>
    <xf numFmtId="166" fontId="19" fillId="5" borderId="0" xfId="2" applyNumberFormat="1" applyFont="1" applyFill="1" applyBorder="1"/>
    <xf numFmtId="44" fontId="15" fillId="0" borderId="0" xfId="1" applyFont="1" applyFill="1" applyBorder="1"/>
    <xf numFmtId="0" fontId="15" fillId="0" borderId="0" xfId="0" applyFont="1" applyAlignment="1">
      <alignment horizontal="left"/>
    </xf>
    <xf numFmtId="1" fontId="15" fillId="0" borderId="0" xfId="0" applyNumberFormat="1" applyFont="1" applyFill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ill="1" applyBorder="1"/>
    <xf numFmtId="44" fontId="15" fillId="0" borderId="0" xfId="0" applyNumberFormat="1" applyFont="1" applyFill="1" applyBorder="1"/>
    <xf numFmtId="9" fontId="19" fillId="0" borderId="0" xfId="2" applyFont="1" applyFill="1" applyBorder="1"/>
    <xf numFmtId="9" fontId="15" fillId="0" borderId="0" xfId="0" applyNumberFormat="1" applyFont="1" applyFill="1" applyBorder="1"/>
    <xf numFmtId="44" fontId="19" fillId="0" borderId="0" xfId="1" applyFont="1"/>
    <xf numFmtId="0" fontId="3" fillId="0" borderId="0" xfId="10"/>
    <xf numFmtId="10" fontId="11" fillId="2" borderId="14" xfId="2" applyNumberFormat="1" applyFont="1" applyFill="1" applyBorder="1" applyAlignment="1">
      <alignment horizontal="center"/>
    </xf>
    <xf numFmtId="166" fontId="6" fillId="0" borderId="0" xfId="2" applyNumberFormat="1" applyFont="1" applyBorder="1" applyAlignment="1"/>
    <xf numFmtId="0" fontId="15" fillId="0" borderId="0" xfId="10" applyFont="1"/>
    <xf numFmtId="0" fontId="15" fillId="0" borderId="0" xfId="10" applyFont="1" applyAlignment="1">
      <alignment horizontal="right"/>
    </xf>
    <xf numFmtId="9" fontId="19" fillId="5" borderId="0" xfId="2" applyFont="1" applyFill="1" applyBorder="1"/>
    <xf numFmtId="44" fontId="15" fillId="5" borderId="0" xfId="1" applyFont="1" applyFill="1" applyBorder="1"/>
    <xf numFmtId="174" fontId="15" fillId="0" borderId="0" xfId="1" applyNumberFormat="1" applyFont="1" applyFill="1" applyBorder="1"/>
    <xf numFmtId="174" fontId="15" fillId="0" borderId="0" xfId="1" applyNumberFormat="1" applyFont="1" applyBorder="1"/>
    <xf numFmtId="0" fontId="17" fillId="0" borderId="0" xfId="4" applyFont="1" applyFill="1" applyBorder="1" applyAlignment="1">
      <alignment horizontal="right"/>
    </xf>
    <xf numFmtId="0" fontId="17" fillId="0" borderId="0" xfId="4" applyFont="1" applyBorder="1" applyAlignment="1">
      <alignment horizontal="right"/>
    </xf>
    <xf numFmtId="0" fontId="19" fillId="0" borderId="0" xfId="0" applyFont="1"/>
    <xf numFmtId="15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8" fillId="2" borderId="15" xfId="1" applyNumberFormat="1" applyFont="1" applyFill="1" applyBorder="1" applyAlignment="1">
      <alignment horizontal="center"/>
    </xf>
    <xf numFmtId="171" fontId="7" fillId="3" borderId="0" xfId="1" applyNumberFormat="1" applyFont="1" applyFill="1" applyBorder="1" applyAlignment="1">
      <alignment horizontal="center"/>
    </xf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3" fontId="4" fillId="0" borderId="0" xfId="0" applyNumberFormat="1" applyFont="1" applyBorder="1" applyAlignment="1"/>
    <xf numFmtId="0" fontId="4" fillId="0" borderId="0" xfId="0" applyNumberFormat="1" applyFont="1" applyBorder="1" applyAlignment="1"/>
    <xf numFmtId="0" fontId="3" fillId="0" borderId="7" xfId="0" applyNumberFormat="1" applyFont="1" applyBorder="1" applyAlignment="1"/>
    <xf numFmtId="172" fontId="0" fillId="0" borderId="0" xfId="0" applyNumberFormat="1" applyFont="1" applyBorder="1" applyAlignment="1"/>
    <xf numFmtId="0" fontId="4" fillId="0" borderId="8" xfId="0" applyNumberFormat="1" applyFont="1" applyBorder="1" applyAlignment="1"/>
    <xf numFmtId="167" fontId="0" fillId="0" borderId="0" xfId="0" applyNumberFormat="1" applyBorder="1"/>
    <xf numFmtId="0" fontId="6" fillId="0" borderId="0" xfId="0" applyFont="1"/>
    <xf numFmtId="0" fontId="6" fillId="0" borderId="0" xfId="0" applyFont="1" applyBorder="1"/>
    <xf numFmtId="3" fontId="0" fillId="0" borderId="7" xfId="0" applyNumberFormat="1" applyFont="1" applyBorder="1" applyAlignment="1"/>
    <xf numFmtId="0" fontId="0" fillId="3" borderId="4" xfId="0" applyFill="1" applyBorder="1"/>
    <xf numFmtId="0" fontId="0" fillId="0" borderId="5" xfId="0" applyNumberFormat="1" applyFont="1" applyBorder="1" applyAlignment="1">
      <alignment horizontal="center"/>
    </xf>
    <xf numFmtId="0" fontId="0" fillId="0" borderId="16" xfId="0" applyNumberFormat="1" applyFont="1" applyBorder="1" applyAlignment="1"/>
    <xf numFmtId="167" fontId="0" fillId="2" borderId="0" xfId="0" applyNumberFormat="1" applyFont="1" applyFill="1" applyBorder="1" applyAlignment="1"/>
    <xf numFmtId="0" fontId="3" fillId="0" borderId="17" xfId="0" applyNumberFormat="1" applyFont="1" applyBorder="1" applyAlignment="1"/>
    <xf numFmtId="0" fontId="0" fillId="0" borderId="18" xfId="0" applyNumberFormat="1" applyFont="1" applyBorder="1" applyAlignment="1"/>
    <xf numFmtId="0" fontId="0" fillId="0" borderId="7" xfId="0" applyNumberFormat="1" applyBorder="1" applyAlignment="1"/>
    <xf numFmtId="0" fontId="0" fillId="2" borderId="0" xfId="0" applyNumberFormat="1" applyFont="1" applyFill="1" applyBorder="1" applyAlignment="1"/>
    <xf numFmtId="0" fontId="3" fillId="0" borderId="16" xfId="0" applyNumberFormat="1" applyFont="1" applyBorder="1" applyAlignment="1"/>
    <xf numFmtId="0" fontId="0" fillId="0" borderId="17" xfId="0" applyNumberFormat="1" applyFont="1" applyBorder="1" applyAlignment="1"/>
    <xf numFmtId="0" fontId="12" fillId="0" borderId="7" xfId="0" applyNumberFormat="1" applyFont="1" applyBorder="1" applyAlignment="1"/>
    <xf numFmtId="168" fontId="3" fillId="0" borderId="0" xfId="0" applyNumberFormat="1" applyFont="1" applyBorder="1" applyAlignment="1"/>
    <xf numFmtId="169" fontId="0" fillId="0" borderId="0" xfId="0" applyNumberFormat="1" applyFont="1" applyBorder="1" applyAlignment="1"/>
    <xf numFmtId="3" fontId="0" fillId="2" borderId="0" xfId="0" applyNumberFormat="1" applyFont="1" applyFill="1" applyBorder="1" applyAlignment="1"/>
    <xf numFmtId="10" fontId="0" fillId="0" borderId="0" xfId="0" applyNumberFormat="1" applyFont="1" applyBorder="1" applyAlignment="1"/>
    <xf numFmtId="168" fontId="0" fillId="0" borderId="0" xfId="0" applyNumberFormat="1" applyFont="1" applyBorder="1" applyAlignment="1"/>
    <xf numFmtId="0" fontId="5" fillId="0" borderId="8" xfId="0" applyNumberFormat="1" applyFont="1" applyBorder="1" applyAlignment="1"/>
    <xf numFmtId="167" fontId="0" fillId="0" borderId="8" xfId="0" applyNumberFormat="1" applyFont="1" applyBorder="1" applyAlignment="1"/>
    <xf numFmtId="0" fontId="3" fillId="0" borderId="9" xfId="0" applyNumberFormat="1" applyFont="1" applyBorder="1" applyAlignment="1"/>
    <xf numFmtId="0" fontId="3" fillId="0" borderId="12" xfId="0" applyNumberFormat="1" applyFont="1" applyBorder="1" applyAlignment="1"/>
    <xf numFmtId="167" fontId="0" fillId="0" borderId="12" xfId="0" applyNumberFormat="1" applyFont="1" applyBorder="1" applyAlignment="1"/>
    <xf numFmtId="167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/>
    <xf numFmtId="175" fontId="19" fillId="0" borderId="0" xfId="3" applyNumberFormat="1" applyFont="1"/>
    <xf numFmtId="174" fontId="19" fillId="0" borderId="0" xfId="1" applyNumberFormat="1" applyFont="1"/>
    <xf numFmtId="0" fontId="19" fillId="0" borderId="0" xfId="0" applyNumberFormat="1" applyFont="1"/>
    <xf numFmtId="15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0" applyNumberFormat="1" applyFont="1" applyBorder="1"/>
    <xf numFmtId="44" fontId="19" fillId="0" borderId="0" xfId="1" applyFont="1" applyBorder="1"/>
    <xf numFmtId="2" fontId="19" fillId="0" borderId="0" xfId="1" applyNumberFormat="1" applyFont="1" applyBorder="1"/>
    <xf numFmtId="9" fontId="19" fillId="0" borderId="0" xfId="2" applyFont="1" applyBorder="1"/>
    <xf numFmtId="43" fontId="19" fillId="0" borderId="0" xfId="3" applyFont="1" applyBorder="1"/>
    <xf numFmtId="43" fontId="15" fillId="0" borderId="0" xfId="3" applyFont="1" applyBorder="1"/>
    <xf numFmtId="168" fontId="15" fillId="0" borderId="0" xfId="0" applyNumberFormat="1" applyFont="1" applyBorder="1"/>
    <xf numFmtId="0" fontId="19" fillId="0" borderId="0" xfId="0" applyFont="1" applyBorder="1"/>
    <xf numFmtId="0" fontId="15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0" fontId="0" fillId="0" borderId="19" xfId="0" applyBorder="1"/>
    <xf numFmtId="0" fontId="15" fillId="0" borderId="20" xfId="0" applyFont="1" applyBorder="1"/>
    <xf numFmtId="0" fontId="15" fillId="0" borderId="19" xfId="0" applyFont="1" applyBorder="1"/>
    <xf numFmtId="0" fontId="15" fillId="0" borderId="20" xfId="0" applyFont="1" applyBorder="1" applyAlignment="1">
      <alignment horizontal="right"/>
    </xf>
    <xf numFmtId="0" fontId="15" fillId="0" borderId="21" xfId="0" applyFont="1" applyBorder="1"/>
    <xf numFmtId="0" fontId="15" fillId="0" borderId="22" xfId="0" applyFont="1" applyBorder="1"/>
    <xf numFmtId="0" fontId="15" fillId="0" borderId="25" xfId="0" applyFont="1" applyBorder="1" applyAlignment="1">
      <alignment horizontal="right"/>
    </xf>
    <xf numFmtId="165" fontId="15" fillId="0" borderId="25" xfId="0" applyNumberFormat="1" applyFont="1" applyBorder="1" applyAlignment="1">
      <alignment horizontal="left"/>
    </xf>
    <xf numFmtId="0" fontId="0" fillId="0" borderId="25" xfId="0" applyBorder="1"/>
    <xf numFmtId="174" fontId="0" fillId="0" borderId="25" xfId="0" applyNumberFormat="1" applyBorder="1"/>
    <xf numFmtId="0" fontId="15" fillId="0" borderId="25" xfId="0" applyNumberFormat="1" applyFont="1" applyBorder="1" applyAlignment="1">
      <alignment horizontal="right"/>
    </xf>
    <xf numFmtId="0" fontId="15" fillId="6" borderId="0" xfId="0" applyFont="1" applyFill="1" applyBorder="1" applyAlignment="1">
      <alignment horizontal="left"/>
    </xf>
    <xf numFmtId="164" fontId="15" fillId="6" borderId="0" xfId="0" applyNumberFormat="1" applyFont="1" applyFill="1" applyBorder="1" applyAlignment="1">
      <alignment horizontal="left"/>
    </xf>
    <xf numFmtId="165" fontId="15" fillId="6" borderId="0" xfId="0" applyNumberFormat="1" applyFont="1" applyFill="1" applyBorder="1" applyAlignment="1">
      <alignment horizontal="left"/>
    </xf>
    <xf numFmtId="0" fontId="15" fillId="6" borderId="0" xfId="0" applyNumberFormat="1" applyFont="1" applyFill="1" applyBorder="1" applyAlignment="1">
      <alignment horizontal="left"/>
    </xf>
    <xf numFmtId="0" fontId="19" fillId="6" borderId="0" xfId="0" applyFont="1" applyFill="1" applyBorder="1" applyAlignment="1">
      <alignment horizontal="right"/>
    </xf>
    <xf numFmtId="0" fontId="15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>
      <alignment horizontal="right"/>
    </xf>
    <xf numFmtId="0" fontId="18" fillId="0" borderId="19" xfId="0" applyFont="1" applyBorder="1"/>
    <xf numFmtId="0" fontId="19" fillId="0" borderId="19" xfId="0" applyFont="1" applyBorder="1" applyAlignment="1">
      <alignment horizontal="right"/>
    </xf>
    <xf numFmtId="0" fontId="3" fillId="0" borderId="19" xfId="0" applyFont="1" applyBorder="1"/>
    <xf numFmtId="0" fontId="0" fillId="6" borderId="19" xfId="0" applyFill="1" applyBorder="1"/>
    <xf numFmtId="0" fontId="15" fillId="0" borderId="19" xfId="0" applyFont="1" applyBorder="1" applyAlignment="1">
      <alignment horizontal="right"/>
    </xf>
    <xf numFmtId="2" fontId="15" fillId="0" borderId="19" xfId="0" applyNumberFormat="1" applyFont="1" applyBorder="1"/>
    <xf numFmtId="44" fontId="19" fillId="0" borderId="19" xfId="1" applyFont="1" applyBorder="1" applyAlignment="1">
      <alignment horizontal="right"/>
    </xf>
    <xf numFmtId="0" fontId="18" fillId="6" borderId="19" xfId="0" applyFont="1" applyFill="1" applyBorder="1"/>
    <xf numFmtId="0" fontId="15" fillId="0" borderId="19" xfId="0" applyFont="1" applyFill="1" applyBorder="1" applyAlignment="1">
      <alignment horizontal="right"/>
    </xf>
    <xf numFmtId="0" fontId="17" fillId="0" borderId="19" xfId="4" applyFont="1" applyFill="1" applyBorder="1" applyAlignment="1">
      <alignment horizontal="right"/>
    </xf>
    <xf numFmtId="43" fontId="19" fillId="0" borderId="19" xfId="0" applyNumberFormat="1" applyFont="1" applyBorder="1" applyAlignment="1">
      <alignment horizontal="right"/>
    </xf>
    <xf numFmtId="44" fontId="19" fillId="0" borderId="19" xfId="1" applyFont="1" applyBorder="1"/>
    <xf numFmtId="0" fontId="3" fillId="0" borderId="7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right"/>
    </xf>
    <xf numFmtId="172" fontId="0" fillId="0" borderId="8" xfId="0" applyNumberFormat="1" applyFont="1" applyBorder="1" applyAlignment="1"/>
    <xf numFmtId="168" fontId="0" fillId="0" borderId="0" xfId="1" applyNumberFormat="1" applyFont="1" applyBorder="1" applyAlignment="1"/>
    <xf numFmtId="167" fontId="6" fillId="0" borderId="26" xfId="0" applyNumberFormat="1" applyFont="1" applyBorder="1" applyAlignment="1"/>
    <xf numFmtId="168" fontId="0" fillId="0" borderId="0" xfId="0" applyNumberFormat="1" applyBorder="1"/>
    <xf numFmtId="2" fontId="6" fillId="0" borderId="12" xfId="0" applyNumberFormat="1" applyFont="1" applyBorder="1"/>
    <xf numFmtId="170" fontId="6" fillId="0" borderId="12" xfId="0" applyNumberFormat="1" applyFont="1" applyBorder="1"/>
    <xf numFmtId="10" fontId="0" fillId="0" borderId="0" xfId="2" applyNumberFormat="1" applyFont="1" applyBorder="1" applyAlignment="1"/>
    <xf numFmtId="0" fontId="17" fillId="0" borderId="0" xfId="4" applyFont="1" applyFill="1" applyBorder="1"/>
    <xf numFmtId="0" fontId="19" fillId="0" borderId="0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right"/>
    </xf>
    <xf numFmtId="9" fontId="15" fillId="5" borderId="0" xfId="2" applyFont="1" applyFill="1" applyBorder="1" applyAlignment="1">
      <alignment horizontal="right"/>
    </xf>
    <xf numFmtId="0" fontId="15" fillId="0" borderId="19" xfId="0" applyFont="1" applyFill="1" applyBorder="1"/>
    <xf numFmtId="0" fontId="0" fillId="0" borderId="19" xfId="0" applyFill="1" applyBorder="1"/>
    <xf numFmtId="0" fontId="6" fillId="0" borderId="0" xfId="0" applyFont="1" applyFill="1" applyBorder="1"/>
    <xf numFmtId="0" fontId="17" fillId="0" borderId="25" xfId="4" applyFont="1" applyBorder="1"/>
    <xf numFmtId="0" fontId="15" fillId="0" borderId="25" xfId="0" applyFont="1" applyBorder="1"/>
    <xf numFmtId="10" fontId="3" fillId="0" borderId="27" xfId="0" applyNumberFormat="1" applyFont="1" applyBorder="1" applyAlignment="1">
      <alignment horizontal="center"/>
    </xf>
    <xf numFmtId="166" fontId="3" fillId="2" borderId="28" xfId="0" applyNumberFormat="1" applyFont="1" applyFill="1" applyBorder="1" applyAlignment="1">
      <alignment horizontal="center"/>
    </xf>
    <xf numFmtId="0" fontId="19" fillId="0" borderId="0" xfId="0" applyNumberFormat="1" applyFont="1" applyProtection="1"/>
    <xf numFmtId="0" fontId="19" fillId="0" borderId="0" xfId="0" applyFont="1" applyProtection="1"/>
    <xf numFmtId="0" fontId="15" fillId="5" borderId="0" xfId="0" applyFont="1" applyFill="1" applyBorder="1" applyAlignment="1" applyProtection="1">
      <alignment horizontal="right"/>
    </xf>
    <xf numFmtId="9" fontId="15" fillId="5" borderId="0" xfId="2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</cellXfs>
  <cellStyles count="14">
    <cellStyle name="Comma" xfId="3" builtinId="3"/>
    <cellStyle name="Comma 2" xfId="7" xr:uid="{00000000-0005-0000-0000-000001000000}"/>
    <cellStyle name="Comma 3" xfId="9" xr:uid="{02F34273-5EBD-4937-9A08-F983316DD2BE}"/>
    <cellStyle name="Comma 3 2" xfId="13" xr:uid="{C86B4B19-9F5D-402F-BEF2-977E397C3A51}"/>
    <cellStyle name="Comma 4" xfId="11" xr:uid="{9452EA0B-0350-4A95-B9F5-8E77482C2433}"/>
    <cellStyle name="Currency" xfId="1" builtinId="4"/>
    <cellStyle name="Currency 2" xfId="6" xr:uid="{00000000-0005-0000-0000-000003000000}"/>
    <cellStyle name="Normal" xfId="0" builtinId="0"/>
    <cellStyle name="Normal 2" xfId="4" xr:uid="{00000000-0005-0000-0000-000005000000}"/>
    <cellStyle name="Normal 3" xfId="8" xr:uid="{F275C1AA-DFBE-40BF-AD3D-9CE6E82FD38E}"/>
    <cellStyle name="Normal 3 2" xfId="12" xr:uid="{3856EA58-BD35-40D3-A1A6-C2C5C6870F76}"/>
    <cellStyle name="Normal 4" xfId="10" xr:uid="{D31BC611-8C4A-4E62-A458-5E3DE64303B3}"/>
    <cellStyle name="Percent" xfId="2" builtinId="5"/>
    <cellStyle name="Percent 2" xfId="5" xr:uid="{00000000-0005-0000-0000-000007000000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10" dropStyle="combo" dx="16" fmlaLink="$A$68" fmlaRange="$B$75:$B$78" sel="1" val="0"/>
</file>

<file path=xl/ctrlProps/ctrlProp2.xml><?xml version="1.0" encoding="utf-8"?>
<formControlPr xmlns="http://schemas.microsoft.com/office/spreadsheetml/2009/9/main" objectType="Drop" dropLines="10" dropStyle="combo" dx="16" fmlaLink="$A$68" fmlaRange="$B$75:$B$78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e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7.png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microsoft.com/office/2007/relationships/hdphoto" Target="../media/hdphoto2.wdp"/><Relationship Id="rId9" Type="http://schemas.microsoft.com/office/2007/relationships/hdphoto" Target="../media/hdphoto4.wd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5.wdp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23809</xdr:colOff>
      <xdr:row>9</xdr:row>
      <xdr:rowOff>57152</xdr:rowOff>
    </xdr:from>
    <xdr:to>
      <xdr:col>10</xdr:col>
      <xdr:colOff>423863</xdr:colOff>
      <xdr:row>18</xdr:row>
      <xdr:rowOff>29658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891084" y="1847852"/>
          <a:ext cx="2176466" cy="143459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8</xdr:row>
      <xdr:rowOff>142876</xdr:rowOff>
    </xdr:from>
    <xdr:to>
      <xdr:col>3</xdr:col>
      <xdr:colOff>470187</xdr:colOff>
      <xdr:row>18</xdr:row>
      <xdr:rowOff>109537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8377" b="91623" l="9956" r="89602">
                      <a14:foregroundMark x1="55973" y1="8377" x2="55973" y2="8377"/>
                      <a14:foregroundMark x1="48673" y1="91623" x2="48673" y2="91623"/>
                    </a14:backgroundRemoval>
                  </a14:imgEffect>
                  <a14:imgEffect>
                    <a14:sharpenSoften amount="-5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71651"/>
          <a:ext cx="1875124" cy="159067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161918</xdr:colOff>
      <xdr:row>22</xdr:row>
      <xdr:rowOff>85726</xdr:rowOff>
    </xdr:from>
    <xdr:to>
      <xdr:col>3</xdr:col>
      <xdr:colOff>500845</xdr:colOff>
      <xdr:row>30</xdr:row>
      <xdr:rowOff>104774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9932" b="91096" l="1704" r="90460">
                      <a14:foregroundMark x1="45656" y1="17580" x2="34327" y2="12785"/>
                      <a14:foregroundMark x1="34327" y1="12785" x2="26491" y2="20205"/>
                      <a14:foregroundMark x1="26491" y1="20205" x2="26405" y2="22603"/>
                      <a14:foregroundMark x1="5111" y1="57763" x2="5111" y2="57763"/>
                      <a14:foregroundMark x1="71039" y1="43836" x2="85690" y2="58333"/>
                      <a14:foregroundMark x1="85690" y1="58333" x2="90630" y2="60274"/>
                      <a14:foregroundMark x1="44634" y1="70091" x2="51959" y2="56164"/>
                      <a14:foregroundMark x1="50256" y1="91096" x2="50256" y2="91096"/>
                      <a14:foregroundMark x1="1704" y1="55251" x2="1704" y2="55251"/>
                    </a14:backgroundRemoval>
                  </a14:imgEffect>
                  <a14:imgEffect>
                    <a14:sharpenSoften amount="25000"/>
                  </a14:imgEffect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56" y="4119564"/>
          <a:ext cx="1848639" cy="13715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195262</xdr:colOff>
          <xdr:row>22</xdr:row>
          <xdr:rowOff>95249</xdr:rowOff>
        </xdr:from>
        <xdr:to>
          <xdr:col>10</xdr:col>
          <xdr:colOff>185737</xdr:colOff>
          <xdr:row>29</xdr:row>
          <xdr:rowOff>47624</xdr:rowOff>
        </xdr:to>
        <xdr:pic>
          <xdr:nvPicPr>
            <xdr:cNvPr id="27" name="Homogenizer_Picture" descr="Image result for apv homogenizer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Homo_Picture" spid="_x0000_s5290"/>
                </a:ext>
              </a:extLst>
            </xdr:cNvPicPr>
          </xdr:nvPicPr>
          <xdr:blipFill rotWithShape="1">
            <a:blip xmlns:r="http://schemas.openxmlformats.org/officeDocument/2006/relationships" r:embed="rId7"/>
            <a:srcRect l="2584" t="3846" r="1551" b="3846"/>
            <a:stretch>
              <a:fillRect/>
            </a:stretch>
          </xdr:blipFill>
          <xdr:spPr bwMode="auto">
            <a:xfrm>
              <a:off x="5095875" y="4129087"/>
              <a:ext cx="1766887" cy="1143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15</xdr:col>
      <xdr:colOff>45642</xdr:colOff>
      <xdr:row>9</xdr:row>
      <xdr:rowOff>19050</xdr:rowOff>
    </xdr:from>
    <xdr:to>
      <xdr:col>17</xdr:col>
      <xdr:colOff>323850</xdr:colOff>
      <xdr:row>17</xdr:row>
      <xdr:rowOff>109738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4096" b="95563" l="9276" r="92308">
                      <a14:foregroundMark x1="55807" y1="8106" x2="55807" y2="8106"/>
                      <a14:foregroundMark x1="56033" y1="4096" x2="56033" y2="4096"/>
                      <a14:foregroundMark x1="57164" y1="92321" x2="57466" y2="92065"/>
                      <a14:foregroundMark x1="92383" y1="69539" x2="92383" y2="69539"/>
                      <a14:foregroundMark x1="60935" y1="73038" x2="60935" y2="73038"/>
                      <a14:foregroundMark x1="9351" y1="63737" x2="9351" y2="63737"/>
                      <a14:foregroundMark x1="55505" y1="95563" x2="55505" y2="95563"/>
                    </a14:backgroundRemoval>
                  </a14:imgEffect>
                  <a14:imgEffect>
                    <a14:sharpenSoften amount="-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6805" y="1809750"/>
          <a:ext cx="1573608" cy="1390851"/>
        </a:xfrm>
        <a:prstGeom prst="rect">
          <a:avLst/>
        </a:prstGeom>
      </xdr:spPr>
    </xdr:pic>
    <xdr:clientData/>
  </xdr:twoCellAnchor>
  <xdr:oneCellAnchor>
    <xdr:from>
      <xdr:col>18</xdr:col>
      <xdr:colOff>428624</xdr:colOff>
      <xdr:row>0</xdr:row>
      <xdr:rowOff>200025</xdr:rowOff>
    </xdr:from>
    <xdr:ext cx="1780667" cy="418328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099" y="200025"/>
          <a:ext cx="1780667" cy="418328"/>
        </a:xfrm>
        <a:prstGeom prst="rect">
          <a:avLst/>
        </a:prstGeom>
      </xdr:spPr>
    </xdr:pic>
    <xdr:clientData/>
  </xdr:oneCellAnchor>
  <xdr:oneCellAnchor>
    <xdr:from>
      <xdr:col>1</xdr:col>
      <xdr:colOff>361950</xdr:colOff>
      <xdr:row>0</xdr:row>
      <xdr:rowOff>257175</xdr:rowOff>
    </xdr:from>
    <xdr:ext cx="1839395" cy="238125"/>
    <xdr:pic>
      <xdr:nvPicPr>
        <xdr:cNvPr id="13" name="Picture 12" descr="Related imag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800" b="38800"/>
        <a:stretch/>
      </xdr:blipFill>
      <xdr:spPr bwMode="auto">
        <a:xfrm>
          <a:off x="361950" y="257175"/>
          <a:ext cx="183939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1409699</xdr:colOff>
      <xdr:row>0</xdr:row>
      <xdr:rowOff>185738</xdr:rowOff>
    </xdr:from>
    <xdr:ext cx="1780667" cy="41832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49" y="185738"/>
          <a:ext cx="1780667" cy="418328"/>
        </a:xfrm>
        <a:prstGeom prst="rect">
          <a:avLst/>
        </a:prstGeom>
      </xdr:spPr>
    </xdr:pic>
    <xdr:clientData/>
  </xdr:oneCellAnchor>
  <xdr:oneCellAnchor>
    <xdr:from>
      <xdr:col>1</xdr:col>
      <xdr:colOff>180975</xdr:colOff>
      <xdr:row>0</xdr:row>
      <xdr:rowOff>238125</xdr:rowOff>
    </xdr:from>
    <xdr:ext cx="1839395" cy="238125"/>
    <xdr:pic>
      <xdr:nvPicPr>
        <xdr:cNvPr id="3" name="Picture 2" descr="Related 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800" b="38800"/>
        <a:stretch/>
      </xdr:blipFill>
      <xdr:spPr bwMode="auto">
        <a:xfrm>
          <a:off x="304800" y="238125"/>
          <a:ext cx="183939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73</xdr:row>
      <xdr:rowOff>0</xdr:rowOff>
    </xdr:from>
    <xdr:to>
      <xdr:col>5</xdr:col>
      <xdr:colOff>0</xdr:colOff>
      <xdr:row>73</xdr:row>
      <xdr:rowOff>0</xdr:rowOff>
    </xdr:to>
    <xdr:sp macro="" textlink="">
      <xdr:nvSpPr>
        <xdr:cNvPr id="3157" name="Rectangle 4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>
          <a:spLocks noChangeArrowheads="1"/>
        </xdr:cNvSpPr>
      </xdr:nvSpPr>
      <xdr:spPr bwMode="auto">
        <a:xfrm>
          <a:off x="4229100" y="13249275"/>
          <a:ext cx="12858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69</xdr:row>
      <xdr:rowOff>28575</xdr:rowOff>
    </xdr:from>
    <xdr:to>
      <xdr:col>5</xdr:col>
      <xdr:colOff>0</xdr:colOff>
      <xdr:row>69</xdr:row>
      <xdr:rowOff>28575</xdr:rowOff>
    </xdr:to>
    <xdr:sp macro="" textlink="">
      <xdr:nvSpPr>
        <xdr:cNvPr id="3158" name="Line 5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ShapeType="1"/>
        </xdr:cNvSpPr>
      </xdr:nvSpPr>
      <xdr:spPr bwMode="auto">
        <a:xfrm>
          <a:off x="1952625" y="12525375"/>
          <a:ext cx="3562350" cy="0"/>
        </a:xfrm>
        <a:prstGeom prst="line">
          <a:avLst/>
        </a:prstGeom>
        <a:noFill/>
        <a:ln w="15875">
          <a:solidFill>
            <a:srgbClr val="FFFFF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38100</xdr:rowOff>
        </xdr:from>
        <xdr:to>
          <xdr:col>3</xdr:col>
          <xdr:colOff>38100</xdr:colOff>
          <xdr:row>72</xdr:row>
          <xdr:rowOff>28575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47625</xdr:rowOff>
        </xdr:from>
        <xdr:to>
          <xdr:col>0</xdr:col>
          <xdr:colOff>1876425</xdr:colOff>
          <xdr:row>7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215899</xdr:colOff>
      <xdr:row>0</xdr:row>
      <xdr:rowOff>152401</xdr:rowOff>
    </xdr:from>
    <xdr:ext cx="1780667" cy="41832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152401"/>
          <a:ext cx="1780667" cy="418328"/>
        </a:xfrm>
        <a:prstGeom prst="rect">
          <a:avLst/>
        </a:prstGeom>
      </xdr:spPr>
    </xdr:pic>
    <xdr:clientData/>
  </xdr:oneCellAnchor>
  <xdr:oneCellAnchor>
    <xdr:from>
      <xdr:col>0</xdr:col>
      <xdr:colOff>485776</xdr:colOff>
      <xdr:row>0</xdr:row>
      <xdr:rowOff>250825</xdr:rowOff>
    </xdr:from>
    <xdr:ext cx="1839395" cy="238125"/>
    <xdr:pic>
      <xdr:nvPicPr>
        <xdr:cNvPr id="8" name="Picture 7" descr="Related imag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800" b="38800"/>
        <a:stretch/>
      </xdr:blipFill>
      <xdr:spPr bwMode="auto">
        <a:xfrm>
          <a:off x="485776" y="250825"/>
          <a:ext cx="183939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209553</xdr:rowOff>
    </xdr:from>
    <xdr:to>
      <xdr:col>6</xdr:col>
      <xdr:colOff>1638301</xdr:colOff>
      <xdr:row>0</xdr:row>
      <xdr:rowOff>1093027</xdr:rowOff>
    </xdr:to>
    <xdr:pic>
      <xdr:nvPicPr>
        <xdr:cNvPr id="2" name="Homogenizer_Picture" descr="Image result for apv homogenize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021" b="97908" l="6250" r="91587">
                      <a14:foregroundMark x1="22115" y1="10042" x2="22115" y2="10042"/>
                      <a14:foregroundMark x1="27644" y1="5439" x2="27644" y2="5439"/>
                      <a14:foregroundMark x1="91587" y1="22594" x2="91587" y2="22594"/>
                      <a14:foregroundMark x1="90625" y1="70711" x2="90625" y2="70711"/>
                      <a14:foregroundMark x1="88702" y1="71130" x2="54087" y2="89121"/>
                      <a14:foregroundMark x1="54087" y1="89121" x2="26683" y2="81590"/>
                      <a14:foregroundMark x1="13462" y1="56904" x2="13462" y2="56904"/>
                      <a14:foregroundMark x1="6490" y1="24268" x2="6490" y2="24268"/>
                      <a14:foregroundMark x1="43029" y1="97908" x2="43029" y2="97908"/>
                    </a14:backgroundRemoval>
                  </a14:imgEffect>
                  <a14:imgEffect>
                    <a14:saturation sat="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3" y="209553"/>
          <a:ext cx="1533526" cy="88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704A-26F2-46AC-B89C-53B85E2DEDE5}">
  <sheetPr>
    <tabColor theme="3" tint="0.39997558519241921"/>
  </sheetPr>
  <dimension ref="B1:U125"/>
  <sheetViews>
    <sheetView showGridLines="0" tabSelected="1" zoomScaleNormal="100" workbookViewId="0">
      <selection activeCell="T8" sqref="T8"/>
    </sheetView>
  </sheetViews>
  <sheetFormatPr defaultRowHeight="12.75" x14ac:dyDescent="0.35"/>
  <cols>
    <col min="1" max="1" width="1.53125" customWidth="1"/>
    <col min="2" max="2" width="10.86328125" customWidth="1"/>
    <col min="3" max="3" width="10.265625" customWidth="1"/>
    <col min="4" max="4" width="11.59765625" customWidth="1"/>
    <col min="5" max="5" width="13.33203125" customWidth="1"/>
    <col min="6" max="6" width="11.9296875" customWidth="1"/>
    <col min="8" max="8" width="6.73046875" customWidth="1"/>
    <col min="13" max="13" width="11.796875" customWidth="1"/>
    <col min="15" max="15" width="6.73046875" customWidth="1"/>
    <col min="16" max="16" width="9.06640625" customWidth="1"/>
    <col min="20" max="20" width="13.46484375" bestFit="1" customWidth="1"/>
  </cols>
  <sheetData>
    <row r="1" spans="2:21" ht="58.5" customHeight="1" x14ac:dyDescent="0.35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21" ht="10.5" customHeight="1" x14ac:dyDescent="0.35">
      <c r="B2" s="61" t="s">
        <v>82</v>
      </c>
      <c r="C2" s="135"/>
      <c r="S2" s="46" t="s">
        <v>179</v>
      </c>
      <c r="U2" s="46" t="s">
        <v>183</v>
      </c>
    </row>
    <row r="3" spans="2:21" ht="10.5" customHeight="1" x14ac:dyDescent="0.35">
      <c r="B3" s="61" t="s">
        <v>83</v>
      </c>
      <c r="C3" s="136">
        <f ca="1">NOW()</f>
        <v>44263.45014872685</v>
      </c>
      <c r="K3" s="47"/>
      <c r="S3" s="46" t="s">
        <v>180</v>
      </c>
      <c r="U3" s="46" t="s">
        <v>182</v>
      </c>
    </row>
    <row r="4" spans="2:21" ht="10.5" customHeight="1" x14ac:dyDescent="0.35">
      <c r="B4" s="61" t="s">
        <v>170</v>
      </c>
      <c r="C4" s="137">
        <f ca="1">NOW()</f>
        <v>44263.45014872685</v>
      </c>
      <c r="K4" s="47"/>
      <c r="S4" s="46" t="s">
        <v>178</v>
      </c>
      <c r="U4" s="81">
        <v>44258</v>
      </c>
    </row>
    <row r="5" spans="2:21" ht="10.5" customHeight="1" x14ac:dyDescent="0.35">
      <c r="B5" s="61" t="s">
        <v>84</v>
      </c>
      <c r="C5" s="137"/>
      <c r="K5" s="47"/>
      <c r="S5" s="46" t="s">
        <v>84</v>
      </c>
      <c r="U5" s="82" t="s">
        <v>181</v>
      </c>
    </row>
    <row r="6" spans="2:21" ht="6" customHeight="1" x14ac:dyDescent="0.35">
      <c r="B6" s="144"/>
      <c r="C6" s="145"/>
      <c r="D6" s="146"/>
      <c r="E6" s="146"/>
      <c r="F6" s="146"/>
      <c r="G6" s="146"/>
      <c r="H6" s="146"/>
      <c r="I6" s="146"/>
      <c r="J6" s="146"/>
      <c r="K6" s="147"/>
      <c r="L6" s="146"/>
      <c r="M6" s="146"/>
      <c r="N6" s="146"/>
      <c r="O6" s="146"/>
      <c r="P6" s="146"/>
      <c r="Q6" s="146"/>
      <c r="R6" s="146"/>
      <c r="S6" s="144"/>
      <c r="T6" s="146"/>
      <c r="U6" s="148"/>
    </row>
    <row r="7" spans="2:21" ht="10.5" customHeight="1" x14ac:dyDescent="0.35">
      <c r="C7" s="61"/>
      <c r="D7" s="61"/>
    </row>
    <row r="8" spans="2:21" ht="17.25" x14ac:dyDescent="0.45">
      <c r="B8" s="45" t="s">
        <v>74</v>
      </c>
      <c r="I8" s="45" t="s">
        <v>80</v>
      </c>
      <c r="P8" s="45" t="s">
        <v>106</v>
      </c>
    </row>
    <row r="10" spans="2:21" ht="13.15" x14ac:dyDescent="0.4">
      <c r="E10" s="46" t="s">
        <v>176</v>
      </c>
      <c r="F10" s="95"/>
      <c r="L10" s="46" t="s">
        <v>176</v>
      </c>
      <c r="M10" s="80"/>
      <c r="N10" s="44"/>
      <c r="O10" s="44"/>
      <c r="S10" s="46" t="s">
        <v>176</v>
      </c>
      <c r="T10" s="80"/>
      <c r="U10" s="44"/>
    </row>
    <row r="11" spans="2:21" x14ac:dyDescent="0.35">
      <c r="E11" s="46" t="s">
        <v>185</v>
      </c>
      <c r="F11" s="80"/>
      <c r="G11" s="44" t="s">
        <v>184</v>
      </c>
      <c r="L11" s="46"/>
      <c r="M11" s="80"/>
      <c r="N11" s="44"/>
      <c r="O11" s="44"/>
      <c r="S11" s="44"/>
      <c r="T11" s="80"/>
      <c r="U11" s="44"/>
    </row>
    <row r="12" spans="2:21" x14ac:dyDescent="0.35">
      <c r="E12" s="46" t="s">
        <v>76</v>
      </c>
      <c r="F12" s="121"/>
      <c r="G12" s="44" t="s">
        <v>77</v>
      </c>
      <c r="L12" s="46" t="s">
        <v>192</v>
      </c>
      <c r="M12" s="121"/>
      <c r="N12" s="44" t="s">
        <v>77</v>
      </c>
      <c r="O12" s="44"/>
      <c r="S12" s="44" t="s">
        <v>103</v>
      </c>
      <c r="T12" s="121"/>
      <c r="U12" s="44" t="s">
        <v>67</v>
      </c>
    </row>
    <row r="13" spans="2:21" x14ac:dyDescent="0.35">
      <c r="E13" s="46" t="s">
        <v>78</v>
      </c>
      <c r="F13" s="68"/>
      <c r="G13" s="44" t="s">
        <v>79</v>
      </c>
      <c r="L13" s="46" t="s">
        <v>190</v>
      </c>
      <c r="M13" s="68"/>
      <c r="N13" s="44" t="s">
        <v>79</v>
      </c>
      <c r="O13" s="44"/>
      <c r="S13" s="44" t="s">
        <v>78</v>
      </c>
      <c r="T13" s="68"/>
      <c r="U13" s="44" t="s">
        <v>79</v>
      </c>
    </row>
    <row r="14" spans="2:21" x14ac:dyDescent="0.35">
      <c r="E14" s="46" t="s">
        <v>187</v>
      </c>
      <c r="F14" s="80">
        <v>1</v>
      </c>
      <c r="G14" s="44" t="s">
        <v>146</v>
      </c>
      <c r="L14" s="46" t="s">
        <v>191</v>
      </c>
      <c r="M14" s="80">
        <v>1</v>
      </c>
      <c r="N14" s="44" t="s">
        <v>146</v>
      </c>
      <c r="O14" s="44"/>
      <c r="S14" s="46" t="s">
        <v>187</v>
      </c>
      <c r="T14" s="80"/>
      <c r="U14" s="44" t="s">
        <v>146</v>
      </c>
    </row>
    <row r="15" spans="2:21" x14ac:dyDescent="0.35">
      <c r="E15" s="46" t="s">
        <v>193</v>
      </c>
      <c r="F15" s="80"/>
      <c r="G15" s="44"/>
      <c r="L15" s="46"/>
      <c r="M15" s="80"/>
      <c r="N15" s="44"/>
      <c r="O15" s="44"/>
      <c r="S15" s="46" t="s">
        <v>186</v>
      </c>
      <c r="T15" s="80"/>
      <c r="U15" s="44" t="s">
        <v>107</v>
      </c>
    </row>
    <row r="16" spans="2:21" x14ac:dyDescent="0.35">
      <c r="E16" s="46" t="s">
        <v>75</v>
      </c>
      <c r="F16" s="80"/>
      <c r="G16" s="44"/>
      <c r="L16" s="46" t="s">
        <v>75</v>
      </c>
      <c r="M16" s="80"/>
      <c r="N16" s="44"/>
      <c r="O16" s="44"/>
      <c r="S16" s="46" t="s">
        <v>75</v>
      </c>
      <c r="T16" s="80"/>
      <c r="U16" s="44"/>
    </row>
    <row r="17" spans="2:21" x14ac:dyDescent="0.35">
      <c r="E17" s="44"/>
      <c r="F17" s="80"/>
      <c r="G17" s="44"/>
      <c r="L17" s="46"/>
      <c r="M17" s="80"/>
      <c r="N17" s="44"/>
      <c r="O17" s="44"/>
      <c r="S17" s="44"/>
      <c r="T17" s="80"/>
      <c r="U17" s="44"/>
    </row>
    <row r="18" spans="2:21" x14ac:dyDescent="0.35">
      <c r="E18" s="46" t="s">
        <v>76</v>
      </c>
      <c r="F18" s="121">
        <f>F12*748</f>
        <v>0</v>
      </c>
      <c r="G18" s="44" t="s">
        <v>101</v>
      </c>
      <c r="L18" s="46" t="s">
        <v>76</v>
      </c>
      <c r="M18" s="121">
        <f>M12*748</f>
        <v>0</v>
      </c>
      <c r="N18" s="44" t="s">
        <v>101</v>
      </c>
      <c r="O18" s="44"/>
      <c r="S18" s="44"/>
      <c r="T18" s="80"/>
      <c r="U18" s="44"/>
    </row>
    <row r="19" spans="2:21" x14ac:dyDescent="0.35">
      <c r="E19" s="46" t="s">
        <v>188</v>
      </c>
      <c r="F19" s="122" t="e">
        <f>F13/(F12*748)</f>
        <v>#DIV/0!</v>
      </c>
      <c r="G19" s="44" t="s">
        <v>175</v>
      </c>
      <c r="L19" s="46" t="s">
        <v>102</v>
      </c>
      <c r="M19" s="122" t="e">
        <f>M13/(M12*748)</f>
        <v>#DIV/0!</v>
      </c>
      <c r="N19" s="44" t="s">
        <v>175</v>
      </c>
      <c r="O19" s="44"/>
      <c r="S19" s="46" t="s">
        <v>189</v>
      </c>
      <c r="T19" s="122" t="e">
        <f>T13/T12</f>
        <v>#DIV/0!</v>
      </c>
      <c r="U19" s="44" t="s">
        <v>174</v>
      </c>
    </row>
    <row r="21" spans="2:21" x14ac:dyDescent="0.3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21" ht="17.25" x14ac:dyDescent="0.45">
      <c r="B22" s="45" t="s">
        <v>81</v>
      </c>
      <c r="C22" s="44"/>
      <c r="D22" s="44"/>
      <c r="E22" s="44"/>
      <c r="F22" s="44"/>
      <c r="G22" s="44"/>
      <c r="H22" s="44"/>
      <c r="I22" s="45" t="str">
        <f>IF($F$28&lt;&gt;"",BACKGROUND!$A$11,"HWRS")</f>
        <v>Homogenizers</v>
      </c>
      <c r="J22" s="44"/>
      <c r="K22" s="44"/>
      <c r="L22" s="44"/>
      <c r="M22" s="44"/>
      <c r="N22" s="44"/>
      <c r="O22" s="44"/>
      <c r="P22" s="44"/>
      <c r="Q22" s="44"/>
      <c r="R22" s="44"/>
    </row>
    <row r="23" spans="2:21" x14ac:dyDescent="0.3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21" ht="17.25" x14ac:dyDescent="0.45">
      <c r="B24" s="44"/>
      <c r="C24" s="44"/>
      <c r="D24" s="44"/>
      <c r="E24" s="46" t="s">
        <v>177</v>
      </c>
      <c r="F24" s="80"/>
      <c r="G24" s="44"/>
      <c r="H24" s="44"/>
      <c r="I24" s="45"/>
      <c r="J24" s="44"/>
      <c r="K24" s="44"/>
      <c r="L24" s="46" t="str">
        <f>IF($F$28&gt;=1, BACKGROUND!$D13, "")</f>
        <v>Homogenizer 01</v>
      </c>
      <c r="M24" s="80"/>
      <c r="N24" s="44"/>
      <c r="O24" s="44"/>
      <c r="P24" s="44"/>
      <c r="Q24" s="44"/>
      <c r="R24" s="44"/>
    </row>
    <row r="25" spans="2:21" x14ac:dyDescent="0.35">
      <c r="B25" s="44"/>
      <c r="C25" s="44"/>
      <c r="D25" s="44"/>
      <c r="E25" s="46" t="s">
        <v>171</v>
      </c>
      <c r="F25" s="80"/>
      <c r="G25" s="44"/>
      <c r="H25" s="44"/>
      <c r="I25" s="44"/>
      <c r="J25" s="44"/>
      <c r="K25" s="44"/>
      <c r="L25" s="46" t="str">
        <f>IF($F$28&gt;=1, BACKGROUND!$D14, "")</f>
        <v>Name:</v>
      </c>
      <c r="M25" s="123"/>
      <c r="N25" s="44"/>
      <c r="O25" s="44"/>
      <c r="P25" s="44"/>
      <c r="Q25" s="44"/>
      <c r="R25" s="44"/>
    </row>
    <row r="26" spans="2:21" x14ac:dyDescent="0.35">
      <c r="B26" s="44"/>
      <c r="C26" s="44"/>
      <c r="D26" s="44"/>
      <c r="E26" s="46" t="s">
        <v>172</v>
      </c>
      <c r="F26" s="80"/>
      <c r="G26" s="44"/>
      <c r="H26" s="44"/>
      <c r="I26" s="44"/>
      <c r="J26" s="44"/>
      <c r="K26" s="44"/>
      <c r="L26" s="46" t="str">
        <f>IF($F$28&gt;=1, BACKGROUND!$D15, "")</f>
        <v>Run Hours:</v>
      </c>
      <c r="M26" s="123"/>
      <c r="N26" s="59" t="str">
        <f>IF($F$28&gt;=1, BACKGROUND!$F15, "")</f>
        <v>/Day</v>
      </c>
      <c r="O26" s="59"/>
      <c r="P26" s="44"/>
      <c r="Q26" s="44"/>
      <c r="R26" s="44"/>
    </row>
    <row r="27" spans="2:21" x14ac:dyDescent="0.35">
      <c r="B27" s="44"/>
      <c r="C27" s="44"/>
      <c r="D27" s="44"/>
      <c r="E27" s="46" t="s">
        <v>173</v>
      </c>
      <c r="F27" s="80"/>
      <c r="G27" s="44"/>
      <c r="H27" s="44"/>
      <c r="I27" s="44"/>
      <c r="J27" s="44"/>
      <c r="K27" s="44"/>
      <c r="L27" s="46" t="str">
        <f>IF($F$28&gt;=1, BACKGROUND!$D16, "")</f>
        <v>Run Days:</v>
      </c>
      <c r="M27" s="123"/>
      <c r="N27" s="59" t="str">
        <f>IF($F$28&gt;=1, BACKGROUND!$F16, "")</f>
        <v>/Week</v>
      </c>
      <c r="O27" s="59"/>
      <c r="P27" s="44"/>
      <c r="Q27" s="44"/>
      <c r="R27" s="44"/>
    </row>
    <row r="28" spans="2:21" x14ac:dyDescent="0.35">
      <c r="B28" s="44"/>
      <c r="C28" s="44"/>
      <c r="D28" s="44"/>
      <c r="E28" s="46" t="s">
        <v>85</v>
      </c>
      <c r="F28" s="80">
        <v>3</v>
      </c>
      <c r="G28" s="44"/>
      <c r="H28" s="44"/>
      <c r="I28" s="44"/>
      <c r="J28" s="44"/>
      <c r="K28" s="44"/>
      <c r="L28" s="46" t="str">
        <f>IF($F$28&gt;=1, BACKGROUND!$D17, "")</f>
        <v>Run Weeks:</v>
      </c>
      <c r="M28" s="123"/>
      <c r="N28" s="59" t="str">
        <f>IF($F$28&gt;=1, BACKGROUND!$F17, "")</f>
        <v>/Year</v>
      </c>
      <c r="O28" s="59"/>
      <c r="P28" s="44"/>
      <c r="Q28" s="44"/>
      <c r="R28" s="44"/>
    </row>
    <row r="29" spans="2:21" x14ac:dyDescent="0.35">
      <c r="B29" s="44"/>
      <c r="C29" s="44"/>
      <c r="D29" s="44"/>
      <c r="E29" s="46" t="s">
        <v>129</v>
      </c>
      <c r="F29" s="63"/>
      <c r="G29" s="44"/>
      <c r="H29" s="44"/>
      <c r="I29" s="44"/>
      <c r="J29" s="44"/>
      <c r="K29" s="44"/>
      <c r="L29" s="46" t="str">
        <f>IF($F$28&gt;=1, BACKGROUND!$D18, "")</f>
        <v>No. of Water Supplies:</v>
      </c>
      <c r="M29" s="80"/>
      <c r="N29" s="59"/>
      <c r="O29" s="59"/>
      <c r="P29" s="44"/>
      <c r="Q29" s="44"/>
      <c r="R29" s="44"/>
    </row>
    <row r="30" spans="2:21" x14ac:dyDescent="0.35">
      <c r="B30" s="44"/>
      <c r="C30" s="44"/>
      <c r="D30" s="44"/>
      <c r="E30" s="46" t="s">
        <v>104</v>
      </c>
      <c r="F30" s="80"/>
      <c r="G30" s="44" t="s">
        <v>89</v>
      </c>
      <c r="H30" s="44"/>
      <c r="I30" s="44"/>
      <c r="J30" s="44"/>
      <c r="K30" s="44"/>
      <c r="L30" s="46" t="str">
        <f>IF($F$28&gt;=1, BACKGROUND!$D19, "")</f>
        <v>Water Supply Flow Rate:</v>
      </c>
      <c r="M30" s="80"/>
      <c r="N30" s="59" t="str">
        <f>IF($F$28&gt;=1, BACKGROUND!$F19, "")</f>
        <v>GPM</v>
      </c>
      <c r="O30" s="59"/>
      <c r="P30" s="44"/>
      <c r="Q30" s="44"/>
      <c r="R30" s="44"/>
    </row>
    <row r="31" spans="2:21" x14ac:dyDescent="0.35">
      <c r="B31" s="44"/>
      <c r="C31" s="44"/>
      <c r="D31" s="44"/>
      <c r="E31" s="46" t="s">
        <v>88</v>
      </c>
      <c r="F31" s="80"/>
      <c r="G31" s="44"/>
      <c r="H31" s="44"/>
      <c r="I31" s="44"/>
      <c r="J31" s="44"/>
      <c r="K31" s="44"/>
      <c r="L31" s="46" t="str">
        <f>IF(AND($F$28&gt;=1, $M$29&gt;1), BACKGROUND!$D20, "")</f>
        <v/>
      </c>
      <c r="M31" s="80"/>
      <c r="N31" s="59" t="str">
        <f>IF(AND($F$28&gt;=1, $M$29&gt;1), BACKGROUND!$F20, "")</f>
        <v/>
      </c>
      <c r="O31" s="59"/>
      <c r="P31" s="44"/>
      <c r="Q31" s="44"/>
      <c r="R31" s="44"/>
    </row>
    <row r="32" spans="2:21" x14ac:dyDescent="0.35">
      <c r="B32" s="44"/>
      <c r="C32" s="44"/>
      <c r="D32" s="44"/>
      <c r="E32" s="46" t="s">
        <v>87</v>
      </c>
      <c r="F32" s="80"/>
      <c r="G32" s="44"/>
      <c r="H32" s="44"/>
      <c r="I32" s="44"/>
      <c r="J32" s="44"/>
      <c r="K32" s="44"/>
      <c r="L32" s="46" t="str">
        <f>IF($F$28&gt;=1, BACKGROUND!$D21, "")</f>
        <v>Temp. Requirement:</v>
      </c>
      <c r="M32" s="123"/>
      <c r="N32" s="59" t="str">
        <f>IF($F$28&gt;=1, BACKGROUND!$F21, "")</f>
        <v xml:space="preserve">Deg. F </v>
      </c>
      <c r="O32" s="59"/>
      <c r="P32" s="44"/>
      <c r="Q32" s="44"/>
      <c r="R32" s="44"/>
    </row>
    <row r="33" spans="2:18" x14ac:dyDescent="0.35">
      <c r="B33" s="44"/>
      <c r="C33" s="44"/>
      <c r="D33" s="44"/>
      <c r="E33" s="46" t="s">
        <v>86</v>
      </c>
      <c r="F33" s="80"/>
      <c r="G33" s="44"/>
      <c r="H33" s="44"/>
      <c r="I33" s="44"/>
      <c r="J33" s="44"/>
      <c r="K33" s="44"/>
      <c r="L33" s="46" t="str">
        <f>IF(AND($F$28&gt;=1, $M$29&gt;1), BACKGROUND!$D22, "")</f>
        <v/>
      </c>
      <c r="M33" s="123"/>
      <c r="N33" s="59" t="str">
        <f>IF($M$29&gt;=2, BACKGROUND!$F22, "")</f>
        <v/>
      </c>
      <c r="O33" s="59"/>
      <c r="P33" s="44"/>
      <c r="Q33" s="44"/>
      <c r="R33" s="44"/>
    </row>
    <row r="34" spans="2:18" x14ac:dyDescent="0.35">
      <c r="B34" s="44"/>
      <c r="C34" s="44"/>
      <c r="D34" s="44"/>
      <c r="E34" s="46" t="s">
        <v>75</v>
      </c>
      <c r="F34" s="80"/>
      <c r="G34" s="44"/>
      <c r="H34" s="44"/>
      <c r="I34" s="44"/>
      <c r="J34" s="44"/>
      <c r="K34" s="44"/>
      <c r="L34" s="46" t="str">
        <f>IF($F$28&gt;=1, BACKGROUND!$D23, "")</f>
        <v>Homogenizer Effluent Temp.</v>
      </c>
      <c r="M34" s="80"/>
      <c r="N34" s="59" t="str">
        <f>IF($F$28&gt;=1, BACKGROUND!$F23, "")</f>
        <v xml:space="preserve">Deg. F </v>
      </c>
      <c r="O34" s="59"/>
      <c r="P34" s="44"/>
      <c r="Q34" s="44"/>
      <c r="R34" s="44"/>
    </row>
    <row r="35" spans="2:18" x14ac:dyDescent="0.3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6" t="str">
        <f>IF($F$28&gt;=1, BACKGROUND!$D24, "")</f>
        <v>Power Available:</v>
      </c>
      <c r="M35" s="80"/>
      <c r="N35" s="59" t="str">
        <f>IF($F$28&gt;=1, BACKGROUND!$F24, "")</f>
        <v>V (3-Phase)</v>
      </c>
      <c r="O35" s="59"/>
      <c r="P35" s="44"/>
      <c r="Q35" s="44"/>
      <c r="R35" s="44"/>
    </row>
    <row r="36" spans="2:18" x14ac:dyDescent="0.3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6" t="str">
        <f>IF($F$28&gt;=1, BACKGROUND!$D25, "")</f>
        <v>Homogenizer Make/Model:</v>
      </c>
      <c r="M36" s="80"/>
      <c r="N36" s="59"/>
      <c r="O36" s="59"/>
      <c r="P36" s="44"/>
      <c r="Q36" s="44"/>
      <c r="R36" s="44"/>
    </row>
    <row r="37" spans="2:18" x14ac:dyDescent="0.3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6" t="str">
        <f>IF($F$28&gt;=1, BACKGROUND!$D26, "")</f>
        <v>Notes:</v>
      </c>
      <c r="M37" s="190" t="s">
        <v>200</v>
      </c>
      <c r="N37" s="59"/>
      <c r="O37" s="59"/>
      <c r="P37" s="44"/>
      <c r="Q37" s="44"/>
      <c r="R37" s="44"/>
    </row>
    <row r="38" spans="2:18" x14ac:dyDescent="0.3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6"/>
      <c r="M38" s="80"/>
      <c r="N38" s="59"/>
      <c r="O38" s="59"/>
      <c r="P38" s="44"/>
      <c r="Q38" s="44"/>
      <c r="R38" s="44"/>
    </row>
    <row r="39" spans="2:18" x14ac:dyDescent="0.3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6"/>
      <c r="M39" s="80"/>
      <c r="N39" s="59"/>
      <c r="O39" s="59"/>
      <c r="P39" s="44"/>
      <c r="Q39" s="44"/>
      <c r="R39" s="44"/>
    </row>
    <row r="40" spans="2:18" x14ac:dyDescent="0.3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6" t="str">
        <f>IF($F$28&gt;=2, BACKGROUND!$D29, "")</f>
        <v>Homogenizer 02</v>
      </c>
      <c r="M40" s="80"/>
      <c r="N40" s="59"/>
      <c r="O40" s="59"/>
      <c r="P40" s="44"/>
      <c r="Q40" s="44"/>
      <c r="R40" s="44"/>
    </row>
    <row r="41" spans="2:18" x14ac:dyDescent="0.3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6" t="str">
        <f>IF($F$28&gt;=2, BACKGROUND!$D30, "")</f>
        <v>Name:</v>
      </c>
      <c r="M41" s="80"/>
      <c r="N41" s="59"/>
      <c r="O41" s="59"/>
      <c r="P41" s="44"/>
      <c r="Q41" s="44"/>
      <c r="R41" s="44"/>
    </row>
    <row r="42" spans="2:18" x14ac:dyDescent="0.3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6" t="str">
        <f>IF($F$28&gt;=2, BACKGROUND!$D31, "")</f>
        <v>Run Hours:</v>
      </c>
      <c r="M42" s="189"/>
      <c r="N42" s="59" t="str">
        <f>IF($F$28&gt;=2, BACKGROUND!$F31, "")</f>
        <v>/Day</v>
      </c>
      <c r="O42" s="59"/>
      <c r="P42" s="44"/>
      <c r="Q42" s="44"/>
      <c r="R42" s="44"/>
    </row>
    <row r="43" spans="2:18" x14ac:dyDescent="0.3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6" t="str">
        <f>IF($F$28&gt;=2, BACKGROUND!$D32, "")</f>
        <v>Run Days:</v>
      </c>
      <c r="M43" s="189"/>
      <c r="N43" s="59" t="str">
        <f>IF($F$28&gt;=2, BACKGROUND!$F32, "")</f>
        <v>/Week</v>
      </c>
      <c r="O43" s="59"/>
      <c r="P43" s="44"/>
      <c r="Q43" s="44"/>
      <c r="R43" s="44"/>
    </row>
    <row r="44" spans="2:18" x14ac:dyDescent="0.3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6" t="str">
        <f>IF($F$28&gt;=2, BACKGROUND!$D33, "")</f>
        <v>Run Weeks:</v>
      </c>
      <c r="M44" s="189"/>
      <c r="N44" s="59" t="str">
        <f>IF($F$28&gt;=2, BACKGROUND!$F33, "")</f>
        <v>/Year</v>
      </c>
      <c r="O44" s="59"/>
      <c r="P44" s="44"/>
      <c r="Q44" s="44"/>
      <c r="R44" s="44"/>
    </row>
    <row r="45" spans="2:18" x14ac:dyDescent="0.3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6" t="str">
        <f>IF($F$28&gt;=2, BACKGROUND!$D34, "")</f>
        <v>No. of Water Supplies:</v>
      </c>
      <c r="M45" s="190"/>
      <c r="N45" s="59"/>
      <c r="O45" s="59"/>
      <c r="P45" s="44"/>
      <c r="Q45" s="44"/>
      <c r="R45" s="44"/>
    </row>
    <row r="46" spans="2:18" x14ac:dyDescent="0.3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6" t="str">
        <f>IF($F$28&gt;=2, BACKGROUND!$D35, "")</f>
        <v>Water Supply Flow Rate:</v>
      </c>
      <c r="M46" s="190"/>
      <c r="N46" s="59" t="str">
        <f>IF($F$28&gt;=2, BACKGROUND!$F35, "")</f>
        <v>GPM</v>
      </c>
      <c r="O46" s="59"/>
      <c r="P46" s="44"/>
      <c r="Q46" s="44"/>
      <c r="R46" s="44"/>
    </row>
    <row r="47" spans="2:18" x14ac:dyDescent="0.3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6" t="str">
        <f>IF(AND($F$28&gt;=2, $M$45&gt;1), BACKGROUND!$D36, "")</f>
        <v/>
      </c>
      <c r="M47" s="190"/>
      <c r="N47" s="59" t="str">
        <f>IF(AND($F$28&gt;=2, $M$45&gt;1), BACKGROUND!$F36, "")</f>
        <v/>
      </c>
      <c r="O47" s="59"/>
      <c r="P47" s="44"/>
      <c r="Q47" s="44"/>
      <c r="R47" s="44"/>
    </row>
    <row r="48" spans="2:18" x14ac:dyDescent="0.3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6" t="str">
        <f>IF($F$28&gt;=2, BACKGROUND!$D37, "")</f>
        <v>Temp. Requirement:</v>
      </c>
      <c r="M48" s="189"/>
      <c r="N48" s="59" t="str">
        <f>IF($F$28&gt;=2, BACKGROUND!$F37, "")</f>
        <v xml:space="preserve">Deg. F </v>
      </c>
      <c r="O48" s="59"/>
      <c r="P48" s="44"/>
      <c r="Q48" s="44"/>
      <c r="R48" s="44"/>
    </row>
    <row r="49" spans="2:18" x14ac:dyDescent="0.3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6" t="str">
        <f>IF(AND($F$28&gt;=1, $M$45&gt;1), BACKGROUND!$D38, "")</f>
        <v/>
      </c>
      <c r="M49" s="189"/>
      <c r="N49" s="59" t="str">
        <f>IF($M$45&gt;=2, BACKGROUND!$F38, "")</f>
        <v/>
      </c>
      <c r="O49" s="59"/>
      <c r="P49" s="44"/>
      <c r="Q49" s="44"/>
      <c r="R49" s="44"/>
    </row>
    <row r="50" spans="2:18" x14ac:dyDescent="0.3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6" t="str">
        <f>IF($F$28&gt;=2, BACKGROUND!$D39, "")</f>
        <v>Homogenizer Effluent Temp.</v>
      </c>
      <c r="M50" s="190"/>
      <c r="N50" s="59" t="str">
        <f>IF($F$28&gt;=2, BACKGROUND!$F39, "")</f>
        <v xml:space="preserve">Deg. F </v>
      </c>
      <c r="O50" s="59"/>
      <c r="P50" s="44"/>
      <c r="Q50" s="44"/>
      <c r="R50" s="44"/>
    </row>
    <row r="51" spans="2:18" x14ac:dyDescent="0.3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6" t="str">
        <f>IF($F$28&gt;=2, BACKGROUND!$D40, "")</f>
        <v>Power Available:</v>
      </c>
      <c r="M51" s="190"/>
      <c r="N51" s="59" t="str">
        <f>IF($F$28&gt;=2, BACKGROUND!$F40, "")</f>
        <v>V (3-Phase)</v>
      </c>
      <c r="O51" s="59"/>
      <c r="P51" s="44"/>
      <c r="Q51" s="44"/>
      <c r="R51" s="44"/>
    </row>
    <row r="52" spans="2:18" x14ac:dyDescent="0.3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6" t="str">
        <f>IF($F$28&gt;=2, BACKGROUND!$D41, "")</f>
        <v>Homogenizer Make/Model:</v>
      </c>
      <c r="M52" s="80"/>
      <c r="N52" s="59"/>
      <c r="O52" s="59"/>
      <c r="P52" s="44"/>
      <c r="Q52" s="44"/>
      <c r="R52" s="44"/>
    </row>
    <row r="53" spans="2:18" x14ac:dyDescent="0.3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6" t="str">
        <f>IF($F$28&gt;=2, BACKGROUND!$D42, "")</f>
        <v>Notes:</v>
      </c>
      <c r="M53" s="80" t="s">
        <v>200</v>
      </c>
      <c r="N53" s="59"/>
      <c r="O53" s="59"/>
      <c r="P53" s="44"/>
      <c r="Q53" s="44"/>
      <c r="R53" s="44"/>
    </row>
    <row r="54" spans="2:18" x14ac:dyDescent="0.3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6"/>
      <c r="M54" s="80"/>
      <c r="N54" s="59"/>
      <c r="O54" s="59"/>
      <c r="P54" s="44"/>
      <c r="Q54" s="44"/>
      <c r="R54" s="44"/>
    </row>
    <row r="55" spans="2:18" x14ac:dyDescent="0.3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6"/>
      <c r="M55" s="80"/>
      <c r="N55" s="59"/>
      <c r="O55" s="59"/>
      <c r="P55" s="44"/>
      <c r="Q55" s="44"/>
      <c r="R55" s="44"/>
    </row>
    <row r="56" spans="2:18" x14ac:dyDescent="0.3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6" t="str">
        <f>IF($F$28&gt;=3, BACKGROUND!$D45, "")</f>
        <v>Homogenizer 03</v>
      </c>
      <c r="M56" s="80"/>
      <c r="N56" s="59"/>
      <c r="O56" s="59"/>
      <c r="P56" s="44"/>
      <c r="Q56" s="44"/>
      <c r="R56" s="44"/>
    </row>
    <row r="57" spans="2:18" x14ac:dyDescent="0.3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6" t="str">
        <f>IF($F$28&gt;=3, BACKGROUND!$D46, "")</f>
        <v>Name:</v>
      </c>
      <c r="M57" s="80"/>
      <c r="N57" s="59"/>
      <c r="O57" s="59"/>
      <c r="P57" s="44"/>
      <c r="Q57" s="44"/>
      <c r="R57" s="44"/>
    </row>
    <row r="58" spans="2:18" x14ac:dyDescent="0.3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6" t="str">
        <f>IF($F$28&gt;=3, BACKGROUND!$D47, "")</f>
        <v>Run Hours:</v>
      </c>
      <c r="M58" s="189"/>
      <c r="N58" s="59" t="str">
        <f>IF($F$28&gt;=3, BACKGROUND!$F47, "")</f>
        <v>/Day</v>
      </c>
      <c r="O58" s="59"/>
      <c r="P58" s="44"/>
      <c r="Q58" s="44"/>
      <c r="R58" s="44"/>
    </row>
    <row r="59" spans="2:18" x14ac:dyDescent="0.3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6" t="str">
        <f>IF($F$28&gt;=3, BACKGROUND!$D48, "")</f>
        <v>Run Days:</v>
      </c>
      <c r="M59" s="189"/>
      <c r="N59" s="59" t="str">
        <f>IF($F$28&gt;=3, BACKGROUND!$F48, "")</f>
        <v>/Week</v>
      </c>
      <c r="O59" s="59"/>
      <c r="P59" s="44"/>
      <c r="Q59" s="44"/>
      <c r="R59" s="44"/>
    </row>
    <row r="60" spans="2:18" x14ac:dyDescent="0.3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6" t="str">
        <f>IF($F$28&gt;=3, BACKGROUND!$D49, "")</f>
        <v>Run Weeks:</v>
      </c>
      <c r="M60" s="189"/>
      <c r="N60" s="59" t="str">
        <f>IF($F$28&gt;=3, BACKGROUND!$F49, "")</f>
        <v>/Year</v>
      </c>
      <c r="O60" s="59"/>
      <c r="P60" s="44"/>
      <c r="Q60" s="44"/>
      <c r="R60" s="44"/>
    </row>
    <row r="61" spans="2:18" x14ac:dyDescent="0.3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6" t="str">
        <f>IF($F$28&gt;=3, BACKGROUND!$D50, "")</f>
        <v>No. of Water Supplies:</v>
      </c>
      <c r="M61" s="190"/>
      <c r="N61" s="59"/>
      <c r="O61" s="59"/>
      <c r="P61" s="44"/>
      <c r="Q61" s="44"/>
      <c r="R61" s="44"/>
    </row>
    <row r="62" spans="2:18" x14ac:dyDescent="0.3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6" t="str">
        <f>IF($F$28&gt;=3, BACKGROUND!$D51, "")</f>
        <v>Water Supply Flow Rate:</v>
      </c>
      <c r="M62" s="190"/>
      <c r="N62" s="59" t="str">
        <f>IF($F$28&gt;=3, BACKGROUND!$F51, "")</f>
        <v>GPM</v>
      </c>
      <c r="O62" s="59"/>
      <c r="P62" s="44"/>
      <c r="Q62" s="44"/>
      <c r="R62" s="44"/>
    </row>
    <row r="63" spans="2:18" x14ac:dyDescent="0.3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6" t="str">
        <f>IF(AND($F$28&gt;=3, $M$61&gt;1), BACKGROUND!$D52, "")</f>
        <v/>
      </c>
      <c r="M63" s="190"/>
      <c r="N63" s="59" t="str">
        <f>IF(AND($F$28&gt;=3, $M$61&gt;1), BACKGROUND!$F52, "")</f>
        <v/>
      </c>
      <c r="O63" s="59"/>
      <c r="P63" s="44"/>
      <c r="Q63" s="44"/>
      <c r="R63" s="44"/>
    </row>
    <row r="64" spans="2:18" x14ac:dyDescent="0.3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6" t="str">
        <f>IF($F$28&gt;=3, BACKGROUND!$D53, "")</f>
        <v>Temp. Requirement:</v>
      </c>
      <c r="M64" s="189"/>
      <c r="N64" s="59" t="str">
        <f>IF($F$28&gt;=3, BACKGROUND!$F53, "")</f>
        <v xml:space="preserve">Deg. F </v>
      </c>
      <c r="O64" s="59"/>
      <c r="P64" s="44"/>
      <c r="Q64" s="44"/>
      <c r="R64" s="44"/>
    </row>
    <row r="65" spans="2:18" x14ac:dyDescent="0.3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6" t="str">
        <f>IF(AND($F$28&gt;=3, $M$61&gt;1), BACKGROUND!$D54, "")</f>
        <v/>
      </c>
      <c r="M65" s="189"/>
      <c r="N65" s="59" t="str">
        <f>IF(AND($F$28&gt;=3, $M$61&gt;1), BACKGROUND!$F54, "")</f>
        <v/>
      </c>
      <c r="O65" s="59"/>
      <c r="P65" s="44"/>
      <c r="Q65" s="44"/>
      <c r="R65" s="44"/>
    </row>
    <row r="66" spans="2:18" x14ac:dyDescent="0.3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6" t="str">
        <f>IF($F$28&gt;=3, BACKGROUND!$D55, "")</f>
        <v>Homogenizer Effluent Temp.</v>
      </c>
      <c r="M66" s="190"/>
      <c r="N66" s="59" t="str">
        <f>IF($F$28&gt;=3, BACKGROUND!$F55, "")</f>
        <v xml:space="preserve">Deg. F </v>
      </c>
      <c r="O66" s="59"/>
      <c r="P66" s="44"/>
      <c r="Q66" s="44"/>
      <c r="R66" s="44"/>
    </row>
    <row r="67" spans="2:18" x14ac:dyDescent="0.3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6" t="str">
        <f>IF($F$28&gt;=3, BACKGROUND!$D56, "")</f>
        <v>Power Available:</v>
      </c>
      <c r="M67" s="190"/>
      <c r="N67" s="59" t="str">
        <f>IF($F$28&gt;=3, BACKGROUND!$F56, "")</f>
        <v>V (3-Phase)</v>
      </c>
      <c r="O67" s="59"/>
      <c r="P67" s="44"/>
      <c r="Q67" s="44"/>
      <c r="R67" s="44"/>
    </row>
    <row r="68" spans="2:18" x14ac:dyDescent="0.3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6" t="str">
        <f>IF($F$28&gt;=3, BACKGROUND!$D57, "")</f>
        <v>Homogenizer Make/Model:</v>
      </c>
      <c r="M68" s="80"/>
      <c r="N68" s="59"/>
      <c r="O68" s="59"/>
      <c r="P68" s="44"/>
      <c r="Q68" s="44"/>
      <c r="R68" s="44"/>
    </row>
    <row r="69" spans="2:18" x14ac:dyDescent="0.3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6" t="str">
        <f>IF($F$28&gt;=3, BACKGROUND!$D58, "")</f>
        <v>Notes:</v>
      </c>
      <c r="M69" s="80"/>
      <c r="N69" s="59"/>
      <c r="O69" s="59"/>
      <c r="P69" s="44"/>
      <c r="Q69" s="44"/>
      <c r="R69" s="44"/>
    </row>
    <row r="70" spans="2:18" x14ac:dyDescent="0.3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6"/>
      <c r="M70" s="80"/>
      <c r="N70" s="59"/>
      <c r="O70" s="59"/>
      <c r="P70" s="44"/>
      <c r="Q70" s="44"/>
      <c r="R70" s="44"/>
    </row>
    <row r="71" spans="2:18" x14ac:dyDescent="0.3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6" t="str">
        <f>IF($F$28&gt;=4, BACKGROUND!$D60, "")</f>
        <v/>
      </c>
      <c r="M71" s="80"/>
      <c r="N71" s="59"/>
      <c r="O71" s="59"/>
      <c r="P71" s="44"/>
      <c r="Q71" s="44"/>
      <c r="R71" s="44"/>
    </row>
    <row r="72" spans="2:18" x14ac:dyDescent="0.3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6" t="str">
        <f>IF($F$28&gt;=4, BACKGROUND!$D61, "")</f>
        <v/>
      </c>
      <c r="M72" s="80"/>
      <c r="N72" s="59"/>
      <c r="O72" s="59"/>
      <c r="P72" s="44"/>
      <c r="Q72" s="44"/>
      <c r="R72" s="44"/>
    </row>
    <row r="73" spans="2:18" x14ac:dyDescent="0.3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6" t="str">
        <f>IF($F$28&gt;=4, BACKGROUND!$D62, "")</f>
        <v/>
      </c>
      <c r="M73" s="189"/>
      <c r="N73" s="59" t="str">
        <f>IF($F$28&gt;=4, BACKGROUND!$F62, "")</f>
        <v/>
      </c>
      <c r="O73" s="59"/>
      <c r="P73" s="44"/>
      <c r="Q73" s="44"/>
      <c r="R73" s="44"/>
    </row>
    <row r="74" spans="2:18" x14ac:dyDescent="0.3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6" t="str">
        <f>IF($F$28&gt;=4, BACKGROUND!$D63, "")</f>
        <v/>
      </c>
      <c r="M74" s="189"/>
      <c r="N74" s="59" t="str">
        <f>IF($F$28&gt;=4, BACKGROUND!$F63, "")</f>
        <v/>
      </c>
      <c r="O74" s="59"/>
      <c r="P74" s="44"/>
      <c r="Q74" s="44"/>
      <c r="R74" s="44"/>
    </row>
    <row r="75" spans="2:18" x14ac:dyDescent="0.3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6" t="str">
        <f>IF($F$28&gt;=4, BACKGROUND!$D64, "")</f>
        <v/>
      </c>
      <c r="M75" s="189"/>
      <c r="N75" s="59" t="str">
        <f>IF($F$28&gt;=4, BACKGROUND!$F64, "")</f>
        <v/>
      </c>
      <c r="O75" s="59"/>
      <c r="P75" s="44"/>
      <c r="Q75" s="44"/>
      <c r="R75" s="44"/>
    </row>
    <row r="76" spans="2:18" x14ac:dyDescent="0.3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6" t="str">
        <f>IF($F$28&gt;=4, BACKGROUND!$D65, "")</f>
        <v/>
      </c>
      <c r="M76" s="190"/>
      <c r="N76" s="59"/>
      <c r="O76" s="59"/>
      <c r="P76" s="44"/>
      <c r="Q76" s="44"/>
      <c r="R76" s="44"/>
    </row>
    <row r="77" spans="2:18" x14ac:dyDescent="0.3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6" t="str">
        <f>IF($F$28&gt;=4, BACKGROUND!$D66, "")</f>
        <v/>
      </c>
      <c r="M77" s="190"/>
      <c r="N77" s="59" t="str">
        <f>IF($F$28&gt;=4, BACKGROUND!$F66, "")</f>
        <v/>
      </c>
      <c r="O77" s="59"/>
      <c r="P77" s="44"/>
      <c r="Q77" s="44"/>
      <c r="R77" s="44"/>
    </row>
    <row r="78" spans="2:18" x14ac:dyDescent="0.3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6" t="str">
        <f>IF(AND($F$28&gt;=4, $M$76&gt;1), BACKGROUND!$D67, "")</f>
        <v/>
      </c>
      <c r="M78" s="190"/>
      <c r="N78" s="59" t="str">
        <f>IF(AND($F$28&gt;=4, $M$76&gt;1), BACKGROUND!$F67, "")</f>
        <v/>
      </c>
      <c r="O78" s="59"/>
      <c r="P78" s="44"/>
      <c r="Q78" s="44"/>
      <c r="R78" s="44"/>
    </row>
    <row r="79" spans="2:18" x14ac:dyDescent="0.3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6" t="str">
        <f>IF($F$28&gt;=4, BACKGROUND!$D68, "")</f>
        <v/>
      </c>
      <c r="M79" s="189"/>
      <c r="N79" s="59" t="str">
        <f>IF($F$28&gt;=4, BACKGROUND!$F68, "")</f>
        <v/>
      </c>
      <c r="O79" s="59"/>
      <c r="P79" s="44"/>
      <c r="Q79" s="44"/>
      <c r="R79" s="44"/>
    </row>
    <row r="80" spans="2:18" x14ac:dyDescent="0.3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6" t="str">
        <f>IF(AND($F$28&gt;=4, $M$76&gt;1), BACKGROUND!$D69, "")</f>
        <v/>
      </c>
      <c r="M80" s="189"/>
      <c r="N80" s="59" t="str">
        <f>IF(AND($F$28&gt;=4, $M$76&gt;1), BACKGROUND!$F69, "")</f>
        <v/>
      </c>
      <c r="O80" s="59"/>
      <c r="P80" s="44"/>
      <c r="Q80" s="44"/>
      <c r="R80" s="44"/>
    </row>
    <row r="81" spans="2:18" x14ac:dyDescent="0.3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6" t="str">
        <f>IF($F$28&gt;=4, BACKGROUND!$D70, "")</f>
        <v/>
      </c>
      <c r="M81" s="190"/>
      <c r="N81" s="59" t="str">
        <f>IF($F$28&gt;=4, BACKGROUND!$F70, "")</f>
        <v/>
      </c>
      <c r="O81" s="59"/>
      <c r="P81" s="44"/>
      <c r="Q81" s="44"/>
      <c r="R81" s="44"/>
    </row>
    <row r="82" spans="2:18" x14ac:dyDescent="0.3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6" t="str">
        <f>IF($F$28&gt;=4, BACKGROUND!$D71, "")</f>
        <v/>
      </c>
      <c r="M82" s="190"/>
      <c r="N82" s="59" t="str">
        <f>IF($F$28&gt;=4, BACKGROUND!$F71, "")</f>
        <v/>
      </c>
      <c r="O82" s="59"/>
      <c r="P82" s="44"/>
      <c r="Q82" s="44"/>
      <c r="R82" s="44"/>
    </row>
    <row r="83" spans="2:18" x14ac:dyDescent="0.3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6" t="str">
        <f>IF($F$28&gt;=4, BACKGROUND!$D72, "")</f>
        <v/>
      </c>
      <c r="M83" s="80"/>
      <c r="N83" s="59"/>
      <c r="O83" s="59"/>
      <c r="P83" s="44"/>
      <c r="Q83" s="44"/>
      <c r="R83" s="44"/>
    </row>
    <row r="84" spans="2:18" x14ac:dyDescent="0.3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6" t="str">
        <f>IF($F$28&gt;=4, BACKGROUND!$D73, "")</f>
        <v/>
      </c>
      <c r="M84" s="80"/>
      <c r="N84" s="59"/>
      <c r="O84" s="59"/>
      <c r="P84" s="44"/>
      <c r="Q84" s="44"/>
      <c r="R84" s="44"/>
    </row>
    <row r="85" spans="2:18" x14ac:dyDescent="0.3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6"/>
      <c r="M85" s="80"/>
      <c r="N85" s="59"/>
      <c r="O85" s="59"/>
      <c r="P85" s="44"/>
      <c r="Q85" s="44"/>
      <c r="R85" s="44"/>
    </row>
    <row r="86" spans="2:18" x14ac:dyDescent="0.3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6"/>
      <c r="M86" s="80"/>
      <c r="N86" s="59"/>
      <c r="O86" s="59"/>
      <c r="P86" s="44"/>
      <c r="Q86" s="44"/>
      <c r="R86" s="44"/>
    </row>
    <row r="87" spans="2:18" x14ac:dyDescent="0.3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6" t="str">
        <f>IF($F$28&gt;=5, BACKGROUND!$D76, "")</f>
        <v/>
      </c>
      <c r="M87" s="80"/>
      <c r="N87" s="59"/>
      <c r="O87" s="59"/>
      <c r="P87" s="44"/>
      <c r="Q87" s="44"/>
      <c r="R87" s="44"/>
    </row>
    <row r="88" spans="2:18" x14ac:dyDescent="0.3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6" t="str">
        <f>IF($F$28&gt;=5, BACKGROUND!$D77, "")</f>
        <v/>
      </c>
      <c r="M88" s="80"/>
      <c r="N88" s="59"/>
      <c r="O88" s="59"/>
      <c r="P88" s="44"/>
      <c r="Q88" s="44"/>
      <c r="R88" s="44"/>
    </row>
    <row r="89" spans="2:18" x14ac:dyDescent="0.3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6" t="str">
        <f>IF($F$28&gt;=5, BACKGROUND!$D78, "")</f>
        <v/>
      </c>
      <c r="M89" s="189"/>
      <c r="N89" s="59" t="str">
        <f>IF($F$28&gt;=5, BACKGROUND!$F78, "")</f>
        <v/>
      </c>
      <c r="O89" s="59"/>
      <c r="P89" s="44"/>
      <c r="Q89" s="44"/>
      <c r="R89" s="44"/>
    </row>
    <row r="90" spans="2:18" x14ac:dyDescent="0.3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6" t="str">
        <f>IF($F$28&gt;=5, BACKGROUND!$D79, "")</f>
        <v/>
      </c>
      <c r="M90" s="189"/>
      <c r="N90" s="59" t="str">
        <f>IF($F$28&gt;=5, BACKGROUND!$F79, "")</f>
        <v/>
      </c>
      <c r="O90" s="59"/>
      <c r="P90" s="44"/>
      <c r="Q90" s="44"/>
      <c r="R90" s="44"/>
    </row>
    <row r="91" spans="2:18" x14ac:dyDescent="0.3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6" t="str">
        <f>IF($F$28&gt;=5, BACKGROUND!$D80, "")</f>
        <v/>
      </c>
      <c r="M91" s="189"/>
      <c r="N91" s="59" t="str">
        <f>IF($F$28&gt;=5, BACKGROUND!$F80, "")</f>
        <v/>
      </c>
      <c r="O91" s="59"/>
      <c r="P91" s="44"/>
      <c r="Q91" s="44"/>
      <c r="R91" s="44"/>
    </row>
    <row r="92" spans="2:18" x14ac:dyDescent="0.3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6" t="str">
        <f>IF($F$28&gt;=5, BACKGROUND!$D81, "")</f>
        <v/>
      </c>
      <c r="M92" s="190"/>
      <c r="N92" s="59"/>
      <c r="O92" s="59"/>
      <c r="P92" s="44"/>
      <c r="Q92" s="44"/>
      <c r="R92" s="44"/>
    </row>
    <row r="93" spans="2:18" x14ac:dyDescent="0.3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6" t="str">
        <f>IF($F$28&gt;=5, BACKGROUND!$D82, "")</f>
        <v/>
      </c>
      <c r="M93" s="190"/>
      <c r="N93" s="59" t="str">
        <f>IF($F$28&gt;=5, BACKGROUND!$F82, "")</f>
        <v/>
      </c>
      <c r="O93" s="59"/>
      <c r="P93" s="44"/>
      <c r="Q93" s="44"/>
      <c r="R93" s="44"/>
    </row>
    <row r="94" spans="2:18" x14ac:dyDescent="0.3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6" t="str">
        <f>IF(AND($F$28&gt;=5, $M$92&gt;1), BACKGROUND!$D83, "")</f>
        <v/>
      </c>
      <c r="M94" s="190"/>
      <c r="N94" s="59" t="str">
        <f>IF(AND($F$28&gt;=5, $M$92&gt;1), BACKGROUND!$F83, "")</f>
        <v/>
      </c>
      <c r="O94" s="59"/>
      <c r="P94" s="44"/>
      <c r="Q94" s="44"/>
      <c r="R94" s="44"/>
    </row>
    <row r="95" spans="2:18" x14ac:dyDescent="0.3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6" t="str">
        <f>IF($F$28&gt;=5, BACKGROUND!$D84, "")</f>
        <v/>
      </c>
      <c r="M95" s="189"/>
      <c r="N95" s="59" t="str">
        <f>IF($F$28&gt;=5, BACKGROUND!$F84, "")</f>
        <v/>
      </c>
      <c r="O95" s="59"/>
      <c r="P95" s="44"/>
      <c r="Q95" s="44"/>
      <c r="R95" s="44"/>
    </row>
    <row r="96" spans="2:18" x14ac:dyDescent="0.3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6" t="str">
        <f>IF(AND($F$28&gt;=5, $M$92&gt;1), BACKGROUND!$D85, "")</f>
        <v/>
      </c>
      <c r="M96" s="189"/>
      <c r="N96" s="59" t="str">
        <f>IF(AND($F$28&gt;=5, $M$92&gt;1), BACKGROUND!$F85, "")</f>
        <v/>
      </c>
      <c r="O96" s="59"/>
      <c r="P96" s="44"/>
      <c r="Q96" s="44"/>
      <c r="R96" s="44"/>
    </row>
    <row r="97" spans="2:18" x14ac:dyDescent="0.3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6" t="str">
        <f>IF($F$28&gt;=5, BACKGROUND!$D86, "")</f>
        <v/>
      </c>
      <c r="M97" s="190"/>
      <c r="N97" s="59" t="str">
        <f>IF($F$28&gt;=5, BACKGROUND!$F86, "")</f>
        <v/>
      </c>
      <c r="O97" s="59"/>
      <c r="P97" s="44"/>
      <c r="Q97" s="44"/>
      <c r="R97" s="44"/>
    </row>
    <row r="98" spans="2:18" x14ac:dyDescent="0.3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6" t="str">
        <f>IF($F$28&gt;=5, BACKGROUND!$D87, "")</f>
        <v/>
      </c>
      <c r="M98" s="190"/>
      <c r="N98" s="59" t="str">
        <f>IF($F$28&gt;=5, BACKGROUND!$F87, "")</f>
        <v/>
      </c>
      <c r="O98" s="59"/>
      <c r="P98" s="44"/>
      <c r="Q98" s="44"/>
      <c r="R98" s="44"/>
    </row>
    <row r="99" spans="2:18" x14ac:dyDescent="0.3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6" t="str">
        <f>IF($F$28&gt;=5, BACKGROUND!$D88, "")</f>
        <v/>
      </c>
      <c r="M99" s="80"/>
      <c r="N99" s="59"/>
      <c r="O99" s="59"/>
      <c r="P99" s="44"/>
      <c r="Q99" s="44"/>
      <c r="R99" s="44"/>
    </row>
    <row r="100" spans="2:18" x14ac:dyDescent="0.3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6" t="str">
        <f>IF($F$28&gt;=5, BACKGROUND!$D89, "")</f>
        <v/>
      </c>
      <c r="M100" s="80"/>
      <c r="N100" s="59"/>
      <c r="O100" s="59"/>
      <c r="P100" s="44"/>
      <c r="Q100" s="44"/>
      <c r="R100" s="44"/>
    </row>
    <row r="101" spans="2:18" x14ac:dyDescent="0.3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6"/>
      <c r="M101" s="80"/>
      <c r="N101" s="59"/>
      <c r="O101" s="59"/>
      <c r="P101" s="44"/>
      <c r="Q101" s="44"/>
      <c r="R101" s="44"/>
    </row>
    <row r="102" spans="2:18" x14ac:dyDescent="0.3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6"/>
      <c r="M102" s="80"/>
      <c r="N102" s="59"/>
      <c r="O102" s="59"/>
      <c r="P102" s="44"/>
      <c r="Q102" s="44"/>
      <c r="R102" s="44"/>
    </row>
    <row r="103" spans="2:18" x14ac:dyDescent="0.3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6" t="str">
        <f>IF($F$28&gt;=6, BACKGROUND!$D92, "")</f>
        <v/>
      </c>
      <c r="M103" s="80"/>
      <c r="N103" s="59"/>
      <c r="O103" s="59"/>
      <c r="P103" s="44"/>
      <c r="Q103" s="44"/>
      <c r="R103" s="44"/>
    </row>
    <row r="104" spans="2:18" x14ac:dyDescent="0.3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6" t="str">
        <f>IF($F$28&gt;=6, BACKGROUND!$D93, "")</f>
        <v/>
      </c>
      <c r="M104" s="80"/>
      <c r="N104" s="59"/>
      <c r="O104" s="59"/>
      <c r="P104" s="44"/>
      <c r="Q104" s="44"/>
      <c r="R104" s="44"/>
    </row>
    <row r="105" spans="2:18" x14ac:dyDescent="0.3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6" t="str">
        <f>IF($F$28&gt;=6, BACKGROUND!$D94, "")</f>
        <v/>
      </c>
      <c r="M105" s="189"/>
      <c r="N105" s="59" t="str">
        <f>IF($F$28&gt;=6, BACKGROUND!$F94, "")</f>
        <v/>
      </c>
      <c r="O105" s="59"/>
      <c r="P105" s="44"/>
      <c r="Q105" s="44"/>
      <c r="R105" s="44"/>
    </row>
    <row r="106" spans="2:18" x14ac:dyDescent="0.3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6" t="str">
        <f>IF($F$28&gt;=6, BACKGROUND!$D95, "")</f>
        <v/>
      </c>
      <c r="M106" s="189"/>
      <c r="N106" s="59" t="str">
        <f>IF($F$28&gt;=6, BACKGROUND!$F95, "")</f>
        <v/>
      </c>
      <c r="O106" s="59"/>
      <c r="P106" s="44"/>
      <c r="Q106" s="44"/>
      <c r="R106" s="44"/>
    </row>
    <row r="107" spans="2:18" x14ac:dyDescent="0.3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6" t="str">
        <f>IF($F$28&gt;=6, BACKGROUND!$D96, "")</f>
        <v/>
      </c>
      <c r="M107" s="189"/>
      <c r="N107" s="59" t="str">
        <f>IF($F$28&gt;=6, BACKGROUND!$F96, "")</f>
        <v/>
      </c>
      <c r="O107" s="59"/>
      <c r="P107" s="44"/>
      <c r="Q107" s="44"/>
      <c r="R107" s="44"/>
    </row>
    <row r="108" spans="2:18" x14ac:dyDescent="0.3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6" t="str">
        <f>IF($F$28&gt;=6, BACKGROUND!$D97, "")</f>
        <v/>
      </c>
      <c r="M108" s="190"/>
      <c r="N108" s="59"/>
      <c r="O108" s="59"/>
      <c r="P108" s="44"/>
      <c r="Q108" s="44"/>
      <c r="R108" s="44"/>
    </row>
    <row r="109" spans="2:18" x14ac:dyDescent="0.3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6" t="str">
        <f>IF($F$28&gt;=6, BACKGROUND!$D98, "")</f>
        <v/>
      </c>
      <c r="M109" s="190"/>
      <c r="N109" s="59" t="str">
        <f>IF($F$28&gt;=6, BACKGROUND!$F98, "")</f>
        <v/>
      </c>
      <c r="O109" s="59"/>
      <c r="P109" s="44"/>
      <c r="Q109" s="44"/>
      <c r="R109" s="44"/>
    </row>
    <row r="110" spans="2:18" x14ac:dyDescent="0.3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6" t="str">
        <f>IF(AND($F$28&gt;=6, $M$108&gt;1), BACKGROUND!$D99, "")</f>
        <v/>
      </c>
      <c r="M110" s="190"/>
      <c r="N110" s="59" t="str">
        <f>IF(AND($F$28&gt;=6, $M$108&gt;1), BACKGROUND!$F99, "")</f>
        <v/>
      </c>
      <c r="O110" s="59"/>
      <c r="P110" s="44"/>
      <c r="Q110" s="44"/>
      <c r="R110" s="44"/>
    </row>
    <row r="111" spans="2:18" x14ac:dyDescent="0.3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6" t="str">
        <f>IF($F$28&gt;=6, BACKGROUND!$D100, "")</f>
        <v/>
      </c>
      <c r="M111" s="189"/>
      <c r="N111" s="59" t="str">
        <f>IF($F$28&gt;=6, BACKGROUND!$F100, "")</f>
        <v/>
      </c>
      <c r="O111" s="59"/>
      <c r="P111" s="44"/>
      <c r="Q111" s="44"/>
      <c r="R111" s="44"/>
    </row>
    <row r="112" spans="2:18" x14ac:dyDescent="0.3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6" t="str">
        <f>IF(AND($F$28&gt;=6, $M$108&gt;1), BACKGROUND!$D101, "")</f>
        <v/>
      </c>
      <c r="M112" s="189"/>
      <c r="N112" s="59" t="str">
        <f>IF(AND($F$28&gt;=6, $M$108&gt;1), BACKGROUND!$F101, "")</f>
        <v/>
      </c>
      <c r="O112" s="59"/>
      <c r="P112" s="44"/>
      <c r="Q112" s="44"/>
      <c r="R112" s="44"/>
    </row>
    <row r="113" spans="2:18" x14ac:dyDescent="0.3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6" t="str">
        <f>IF($F$28&gt;=6, BACKGROUND!$D102, "")</f>
        <v/>
      </c>
      <c r="M113" s="190"/>
      <c r="N113" s="59" t="str">
        <f>IF($F$28&gt;=6, BACKGROUND!$F102, "")</f>
        <v/>
      </c>
      <c r="O113" s="59"/>
      <c r="P113" s="44"/>
      <c r="Q113" s="44"/>
      <c r="R113" s="44"/>
    </row>
    <row r="114" spans="2:18" x14ac:dyDescent="0.3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6" t="str">
        <f>IF($F$28&gt;=6, BACKGROUND!$D103, "")</f>
        <v/>
      </c>
      <c r="M114" s="190"/>
      <c r="N114" s="59" t="str">
        <f>IF($F$28&gt;=6, BACKGROUND!$F103, "")</f>
        <v/>
      </c>
      <c r="O114" s="59"/>
      <c r="P114" s="44"/>
      <c r="Q114" s="44"/>
      <c r="R114" s="44"/>
    </row>
    <row r="115" spans="2:18" x14ac:dyDescent="0.3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6" t="str">
        <f>IF($F$28&gt;=6, BACKGROUND!$D104, "")</f>
        <v/>
      </c>
      <c r="M115" s="80"/>
      <c r="N115" s="59"/>
      <c r="O115" s="59"/>
      <c r="P115" s="44"/>
      <c r="Q115" s="44"/>
      <c r="R115" s="44"/>
    </row>
    <row r="116" spans="2:18" x14ac:dyDescent="0.3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6" t="str">
        <f>IF($F$28&gt;=6, BACKGROUND!$D105, "")</f>
        <v/>
      </c>
      <c r="M116" s="80"/>
      <c r="N116" s="59"/>
      <c r="O116" s="59"/>
      <c r="P116" s="44"/>
      <c r="Q116" s="44"/>
      <c r="R116" s="44"/>
    </row>
    <row r="117" spans="2:18" x14ac:dyDescent="0.3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80"/>
      <c r="N117" s="44"/>
      <c r="O117" s="44"/>
      <c r="P117" s="44"/>
      <c r="Q117" s="44"/>
      <c r="R117" s="44"/>
    </row>
    <row r="118" spans="2:18" x14ac:dyDescent="0.3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80"/>
      <c r="N118" s="44"/>
      <c r="O118" s="44"/>
      <c r="P118" s="44"/>
      <c r="Q118" s="44"/>
      <c r="R118" s="44"/>
    </row>
    <row r="119" spans="2:18" x14ac:dyDescent="0.3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80"/>
      <c r="N119" s="44"/>
      <c r="O119" s="44"/>
      <c r="P119" s="44"/>
      <c r="Q119" s="44"/>
      <c r="R119" s="44"/>
    </row>
    <row r="120" spans="2:18" x14ac:dyDescent="0.3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80"/>
      <c r="N120" s="44"/>
      <c r="O120" s="44"/>
      <c r="P120" s="44"/>
      <c r="Q120" s="44"/>
      <c r="R120" s="44"/>
    </row>
    <row r="121" spans="2:18" x14ac:dyDescent="0.3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80"/>
      <c r="N121" s="44"/>
      <c r="O121" s="44"/>
      <c r="P121" s="44"/>
      <c r="Q121" s="44"/>
      <c r="R121" s="44"/>
    </row>
    <row r="122" spans="2:18" x14ac:dyDescent="0.3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80"/>
      <c r="N122" s="44"/>
      <c r="O122" s="44"/>
      <c r="P122" s="44"/>
      <c r="Q122" s="44"/>
      <c r="R122" s="44"/>
    </row>
    <row r="123" spans="2:18" x14ac:dyDescent="0.3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80"/>
      <c r="N123" s="44"/>
      <c r="O123" s="44"/>
      <c r="P123" s="44"/>
      <c r="Q123" s="44"/>
      <c r="R123" s="44"/>
    </row>
    <row r="124" spans="2:18" x14ac:dyDescent="0.3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80"/>
      <c r="N124" s="44"/>
      <c r="O124" s="44"/>
      <c r="P124" s="44"/>
      <c r="Q124" s="44"/>
      <c r="R124" s="44"/>
    </row>
    <row r="125" spans="2:18" x14ac:dyDescent="0.3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80"/>
      <c r="N125" s="44"/>
      <c r="O125" s="44"/>
      <c r="P125" s="44"/>
      <c r="Q125" s="44"/>
      <c r="R125" s="44"/>
    </row>
  </sheetData>
  <protectedRanges>
    <protectedRange sqref="C2 C5" name="Range4"/>
    <protectedRange sqref="T10:T19" name="Range3"/>
    <protectedRange sqref="M10:M118" name="Range2"/>
    <protectedRange sqref="F10:F34" name="Range1"/>
  </protectedRanges>
  <mergeCells count="1">
    <mergeCell ref="B1:P1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DA339E-516D-4ADF-8916-A1379E86A00F}">
          <x14:formula1>
            <xm:f>BACKGROUND!$A$3:$A$9</xm:f>
          </x14:formula1>
          <xm:sqref>F28</xm:sqref>
        </x14:dataValidation>
        <x14:dataValidation type="list" allowBlank="1" showInputMessage="1" showErrorMessage="1" xr:uid="{AD090F3C-556F-4D1C-BED2-3F63046202D6}">
          <x14:formula1>
            <xm:f>BACKGROUND!$A$3:$A$5</xm:f>
          </x14:formula1>
          <xm:sqref>M29 M45 M61 M76 M92 M108</xm:sqref>
        </x14:dataValidation>
        <x14:dataValidation type="list" allowBlank="1" showInputMessage="1" showErrorMessage="1" xr:uid="{77821AF1-CD6A-4242-8867-375A143F3553}">
          <x14:formula1>
            <xm:f>BACKGROUND!$B$3:$B$6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R107"/>
  <sheetViews>
    <sheetView showGridLines="0" showZeros="0" zoomScaleNormal="100" workbookViewId="0">
      <selection activeCell="M5" sqref="M5"/>
    </sheetView>
  </sheetViews>
  <sheetFormatPr defaultRowHeight="12.75" x14ac:dyDescent="0.35"/>
  <cols>
    <col min="1" max="1" width="1.73046875" customWidth="1"/>
    <col min="2" max="2" width="29.33203125" customWidth="1"/>
    <col min="3" max="7" width="14.265625" customWidth="1"/>
    <col min="8" max="8" width="30.19921875" customWidth="1"/>
    <col min="9" max="9" width="14.73046875" customWidth="1"/>
    <col min="10" max="10" width="30.19921875" customWidth="1"/>
    <col min="11" max="11" width="14.73046875" customWidth="1"/>
    <col min="12" max="12" width="30.19921875" customWidth="1"/>
    <col min="13" max="13" width="15.59765625" customWidth="1"/>
    <col min="14" max="14" width="14.796875" customWidth="1"/>
    <col min="16" max="16" width="13.3984375" bestFit="1" customWidth="1"/>
    <col min="18" max="18" width="11.265625" bestFit="1" customWidth="1"/>
  </cols>
  <sheetData>
    <row r="1" spans="1:13" ht="58.5" customHeight="1" x14ac:dyDescent="0.3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0.5" customHeight="1" x14ac:dyDescent="0.35">
      <c r="A2" s="21"/>
      <c r="B2" s="149" t="s">
        <v>82</v>
      </c>
      <c r="C2" s="149">
        <f>(PROFILE!$C$2)</f>
        <v>0</v>
      </c>
      <c r="D2" s="155"/>
      <c r="E2" s="21"/>
      <c r="F2" s="21"/>
      <c r="G2" s="21"/>
      <c r="I2" s="21"/>
      <c r="J2" s="21"/>
      <c r="K2" s="21"/>
      <c r="L2" s="61" t="s">
        <v>179</v>
      </c>
      <c r="M2" s="61" t="s">
        <v>183</v>
      </c>
    </row>
    <row r="3" spans="1:13" ht="10.5" customHeight="1" x14ac:dyDescent="0.35">
      <c r="A3" s="21"/>
      <c r="B3" s="149" t="s">
        <v>83</v>
      </c>
      <c r="C3" s="150">
        <f ca="1">NOW()</f>
        <v>44263.45014872685</v>
      </c>
      <c r="D3" s="155"/>
      <c r="E3" s="21"/>
      <c r="F3" s="21"/>
      <c r="G3" s="21"/>
      <c r="I3" s="21"/>
      <c r="J3" s="21"/>
      <c r="K3" s="21"/>
      <c r="L3" s="61" t="s">
        <v>180</v>
      </c>
      <c r="M3" s="61" t="s">
        <v>182</v>
      </c>
    </row>
    <row r="4" spans="1:13" ht="10.5" customHeight="1" x14ac:dyDescent="0.35">
      <c r="A4" s="21"/>
      <c r="B4" s="149" t="s">
        <v>170</v>
      </c>
      <c r="C4" s="151">
        <f ca="1">NOW()</f>
        <v>44263.45014872685</v>
      </c>
      <c r="D4" s="155"/>
      <c r="E4" s="21"/>
      <c r="F4" s="21"/>
      <c r="G4" s="21"/>
      <c r="I4" s="21"/>
      <c r="J4" s="21"/>
      <c r="K4" s="21"/>
      <c r="L4" s="61" t="s">
        <v>178</v>
      </c>
      <c r="M4" s="124">
        <v>44258</v>
      </c>
    </row>
    <row r="5" spans="1:13" ht="10.5" customHeight="1" x14ac:dyDescent="0.35">
      <c r="A5" s="21"/>
      <c r="B5" s="149" t="s">
        <v>84</v>
      </c>
      <c r="C5" s="152">
        <f>PROFILE!C5</f>
        <v>0</v>
      </c>
      <c r="D5" s="155"/>
      <c r="E5" s="21"/>
      <c r="F5" s="21"/>
      <c r="G5" s="21"/>
      <c r="I5" s="21"/>
      <c r="J5" s="21"/>
      <c r="K5" s="21"/>
      <c r="L5" s="61" t="s">
        <v>84</v>
      </c>
      <c r="M5" s="125" t="s">
        <v>181</v>
      </c>
    </row>
    <row r="6" spans="1:13" x14ac:dyDescent="0.35">
      <c r="A6" s="21"/>
      <c r="B6" s="21"/>
      <c r="C6" s="21"/>
      <c r="D6" s="21"/>
      <c r="E6" s="21"/>
      <c r="F6" s="21"/>
      <c r="G6" s="21"/>
      <c r="I6" s="21"/>
      <c r="J6" s="21"/>
      <c r="K6" s="21"/>
      <c r="L6" s="21"/>
      <c r="M6" s="21"/>
    </row>
    <row r="7" spans="1:13" x14ac:dyDescent="0.35">
      <c r="A7" s="21"/>
      <c r="B7" s="54" t="s">
        <v>194</v>
      </c>
      <c r="C7" s="21"/>
      <c r="D7" s="21"/>
      <c r="E7" s="21"/>
      <c r="F7" s="21"/>
      <c r="G7" s="21"/>
      <c r="I7" s="21"/>
      <c r="J7" s="21"/>
      <c r="K7" s="21"/>
      <c r="L7" s="21"/>
      <c r="M7" s="21"/>
    </row>
    <row r="8" spans="1:13" x14ac:dyDescent="0.35">
      <c r="A8" s="21"/>
      <c r="B8" s="78" t="s">
        <v>136</v>
      </c>
      <c r="C8" s="185">
        <f ca="1">YEAR(TODAY())</f>
        <v>2021</v>
      </c>
      <c r="D8" s="185">
        <f ca="1">C8+1</f>
        <v>2022</v>
      </c>
      <c r="E8" s="185">
        <f ca="1">D8+1</f>
        <v>2023</v>
      </c>
      <c r="F8" s="185">
        <f ca="1">E8+1</f>
        <v>2024</v>
      </c>
      <c r="G8" s="185">
        <f ca="1">F8+1</f>
        <v>2025</v>
      </c>
      <c r="I8" s="178"/>
      <c r="J8" s="21"/>
      <c r="K8" s="21"/>
      <c r="L8" s="21"/>
      <c r="M8" s="21"/>
    </row>
    <row r="9" spans="1:13" x14ac:dyDescent="0.35">
      <c r="A9" s="21"/>
      <c r="B9" s="79" t="s">
        <v>134</v>
      </c>
      <c r="C9" s="77" t="e">
        <f>(PROFILE!F19)</f>
        <v>#DIV/0!</v>
      </c>
      <c r="D9" s="77" t="e">
        <f t="shared" ref="D9:G10" si="0">C9*(1+$C$12)</f>
        <v>#DIV/0!</v>
      </c>
      <c r="E9" s="77" t="e">
        <f t="shared" si="0"/>
        <v>#DIV/0!</v>
      </c>
      <c r="F9" s="77" t="e">
        <f t="shared" si="0"/>
        <v>#DIV/0!</v>
      </c>
      <c r="G9" s="77" t="e">
        <f t="shared" si="0"/>
        <v>#DIV/0!</v>
      </c>
      <c r="H9" s="21"/>
      <c r="I9" s="21"/>
      <c r="J9" s="21"/>
      <c r="K9" s="21"/>
      <c r="L9" s="21"/>
      <c r="M9" s="21"/>
    </row>
    <row r="10" spans="1:13" x14ac:dyDescent="0.35">
      <c r="A10" s="21"/>
      <c r="B10" s="79" t="s">
        <v>133</v>
      </c>
      <c r="C10" s="77" t="e">
        <f>(PROFILE!M19)</f>
        <v>#DIV/0!</v>
      </c>
      <c r="D10" s="77" t="e">
        <f>C10*(1+$C$12)</f>
        <v>#DIV/0!</v>
      </c>
      <c r="E10" s="77" t="e">
        <f t="shared" si="0"/>
        <v>#DIV/0!</v>
      </c>
      <c r="F10" s="77" t="e">
        <f t="shared" si="0"/>
        <v>#DIV/0!</v>
      </c>
      <c r="G10" s="77" t="e">
        <f t="shared" si="0"/>
        <v>#DIV/0!</v>
      </c>
      <c r="H10" s="21"/>
      <c r="I10" s="21"/>
      <c r="J10" s="21"/>
      <c r="K10" s="21"/>
      <c r="L10" s="21"/>
      <c r="M10" s="21"/>
    </row>
    <row r="11" spans="1:13" x14ac:dyDescent="0.35">
      <c r="A11" s="21"/>
      <c r="B11" s="79" t="s">
        <v>122</v>
      </c>
      <c r="C11" s="77" t="e">
        <f>SUM(C9:C10)</f>
        <v>#DIV/0!</v>
      </c>
      <c r="D11" s="77" t="e">
        <f t="shared" ref="D11:G11" si="1">SUM(D9:D10)</f>
        <v>#DIV/0!</v>
      </c>
      <c r="E11" s="77" t="e">
        <f t="shared" si="1"/>
        <v>#DIV/0!</v>
      </c>
      <c r="F11" s="77" t="e">
        <f t="shared" si="1"/>
        <v>#DIV/0!</v>
      </c>
      <c r="G11" s="77" t="e">
        <f t="shared" si="1"/>
        <v>#DIV/0!</v>
      </c>
      <c r="H11" s="21"/>
      <c r="I11" s="21"/>
      <c r="J11" s="21"/>
      <c r="K11" s="21"/>
      <c r="L11" s="21"/>
      <c r="M11" s="21"/>
    </row>
    <row r="12" spans="1:13" x14ac:dyDescent="0.35">
      <c r="A12" s="21"/>
      <c r="B12" s="61" t="s">
        <v>121</v>
      </c>
      <c r="C12" s="74">
        <v>0.04</v>
      </c>
      <c r="D12" s="49"/>
      <c r="E12" s="48"/>
      <c r="F12" s="48"/>
      <c r="G12" s="48"/>
      <c r="H12" s="21"/>
      <c r="I12" s="21"/>
      <c r="J12" s="21"/>
      <c r="K12" s="21"/>
      <c r="L12" s="21"/>
      <c r="M12" s="21"/>
    </row>
    <row r="13" spans="1:13" x14ac:dyDescent="0.35">
      <c r="A13" s="21"/>
      <c r="B13" s="78" t="s">
        <v>120</v>
      </c>
      <c r="C13" s="76" t="e">
        <f>(PROFILE!T19)</f>
        <v>#DIV/0!</v>
      </c>
      <c r="D13" s="77" t="e">
        <f>C13+(C13*$C$14)</f>
        <v>#DIV/0!</v>
      </c>
      <c r="E13" s="77" t="e">
        <f t="shared" ref="E13:G13" si="2">D13+(D13*$C$14)</f>
        <v>#DIV/0!</v>
      </c>
      <c r="F13" s="77" t="e">
        <f t="shared" si="2"/>
        <v>#DIV/0!</v>
      </c>
      <c r="G13" s="77" t="e">
        <f t="shared" si="2"/>
        <v>#DIV/0!</v>
      </c>
      <c r="H13" s="21"/>
      <c r="I13" s="21"/>
      <c r="J13" s="21"/>
      <c r="K13" s="21"/>
      <c r="L13" s="21"/>
      <c r="M13" s="21"/>
    </row>
    <row r="14" spans="1:13" x14ac:dyDescent="0.35">
      <c r="A14" s="21"/>
      <c r="B14" s="61" t="s">
        <v>119</v>
      </c>
      <c r="C14" s="74">
        <v>0.02</v>
      </c>
      <c r="D14" s="21"/>
      <c r="E14" s="48"/>
      <c r="F14" s="56"/>
      <c r="G14" s="48"/>
      <c r="H14" s="21"/>
      <c r="I14" s="21"/>
      <c r="J14" s="21"/>
      <c r="K14" s="21"/>
      <c r="L14" s="21"/>
      <c r="M14" s="21"/>
    </row>
    <row r="15" spans="1:13" x14ac:dyDescent="0.35">
      <c r="A15" s="21"/>
      <c r="B15" s="62"/>
      <c r="C15" s="21"/>
      <c r="D15" s="48"/>
      <c r="E15" s="48"/>
      <c r="F15" s="48"/>
      <c r="G15" s="48"/>
      <c r="H15" s="21"/>
      <c r="I15" s="21"/>
      <c r="J15" s="21"/>
      <c r="K15" s="21"/>
      <c r="L15" s="21"/>
      <c r="M15" s="21"/>
    </row>
    <row r="16" spans="1:13" x14ac:dyDescent="0.35">
      <c r="A16" s="21"/>
      <c r="B16" s="21"/>
      <c r="C16" s="21"/>
      <c r="D16" s="48"/>
      <c r="E16" s="48"/>
      <c r="F16" s="48"/>
      <c r="G16" s="48"/>
      <c r="H16" s="21"/>
      <c r="I16" s="21"/>
      <c r="J16" s="21"/>
      <c r="K16" s="21"/>
      <c r="L16" s="21"/>
      <c r="M16" s="21"/>
    </row>
    <row r="17" spans="1:14" x14ac:dyDescent="0.35">
      <c r="A17" s="21"/>
      <c r="B17" s="21"/>
      <c r="C17" s="21"/>
      <c r="D17" s="21"/>
      <c r="E17" s="21"/>
      <c r="F17" s="21"/>
      <c r="G17" s="21"/>
      <c r="H17" s="21"/>
      <c r="I17" s="21"/>
      <c r="J17" s="48"/>
      <c r="K17" s="48"/>
      <c r="L17" s="48"/>
      <c r="M17" s="48"/>
      <c r="N17" s="21"/>
    </row>
    <row r="18" spans="1:14" x14ac:dyDescent="0.35">
      <c r="A18" s="21"/>
      <c r="B18" s="21"/>
      <c r="C18" s="21"/>
      <c r="D18" s="21"/>
      <c r="E18" s="21"/>
      <c r="F18" s="21"/>
      <c r="G18" s="21"/>
      <c r="H18" s="48"/>
      <c r="I18" s="48"/>
      <c r="J18" s="48"/>
      <c r="K18" s="48"/>
      <c r="L18" s="48"/>
      <c r="M18" s="48"/>
      <c r="N18" s="48"/>
    </row>
    <row r="19" spans="1:14" x14ac:dyDescent="0.35">
      <c r="A19" s="21"/>
      <c r="B19" s="54" t="s">
        <v>132</v>
      </c>
      <c r="C19" s="21"/>
      <c r="D19" s="21"/>
      <c r="E19" s="21"/>
      <c r="F19" s="21"/>
      <c r="G19" s="21"/>
      <c r="H19" s="157" t="s">
        <v>73</v>
      </c>
      <c r="I19" s="21"/>
      <c r="J19" s="157" t="s">
        <v>196</v>
      </c>
      <c r="K19" s="51"/>
      <c r="L19" s="157" t="s">
        <v>197</v>
      </c>
      <c r="M19" s="51"/>
      <c r="N19" s="51"/>
    </row>
    <row r="20" spans="1:14" x14ac:dyDescent="0.35">
      <c r="A20" s="21"/>
      <c r="B20" s="61" t="s">
        <v>136</v>
      </c>
      <c r="C20" s="186">
        <f ca="1">C8</f>
        <v>2021</v>
      </c>
      <c r="D20" s="186">
        <f t="shared" ref="D20:G20" ca="1" si="3">D8</f>
        <v>2022</v>
      </c>
      <c r="E20" s="186">
        <f t="shared" ca="1" si="3"/>
        <v>2023</v>
      </c>
      <c r="F20" s="186">
        <f t="shared" ca="1" si="3"/>
        <v>2024</v>
      </c>
      <c r="G20" s="186">
        <f t="shared" ca="1" si="3"/>
        <v>2025</v>
      </c>
      <c r="H20" s="138"/>
      <c r="I20" s="21"/>
      <c r="J20" s="162"/>
      <c r="K20" s="51"/>
      <c r="L20" s="140"/>
      <c r="M20" s="48"/>
      <c r="N20" s="21"/>
    </row>
    <row r="21" spans="1:14" x14ac:dyDescent="0.35">
      <c r="A21" s="21"/>
      <c r="B21" s="126" t="s">
        <v>150</v>
      </c>
      <c r="C21" s="127">
        <f>SUM(C29,C37,C45,C53,C61,C69)</f>
        <v>0</v>
      </c>
      <c r="D21" s="127">
        <f t="shared" ref="D21:G24" si="4">SUM(D29,D37,D45,D53,D61,D69)</f>
        <v>0</v>
      </c>
      <c r="E21" s="127">
        <f t="shared" si="4"/>
        <v>0</v>
      </c>
      <c r="F21" s="127">
        <f t="shared" si="4"/>
        <v>0</v>
      </c>
      <c r="G21" s="127">
        <f t="shared" si="4"/>
        <v>0</v>
      </c>
      <c r="H21" s="158" t="s">
        <v>153</v>
      </c>
      <c r="I21" s="127">
        <f>(I29+I37+I45+I53+I61+I69)</f>
        <v>0</v>
      </c>
      <c r="J21" s="158" t="s">
        <v>154</v>
      </c>
      <c r="K21" s="128">
        <f>SUM(K30,K38,K46,K54,K62,K70)</f>
        <v>0</v>
      </c>
      <c r="L21" s="167" t="s">
        <v>163</v>
      </c>
      <c r="M21" s="129">
        <f>SUM(M31,M39,M47,M55,M63,M71)/(PROFILE!$F$28)</f>
        <v>0.21666666666666667</v>
      </c>
      <c r="N21" s="21"/>
    </row>
    <row r="22" spans="1:14" x14ac:dyDescent="0.35">
      <c r="A22" s="21"/>
      <c r="B22" s="126" t="s">
        <v>148</v>
      </c>
      <c r="C22" s="128" t="e">
        <f>SUM(C30,C38,C46,C54,C62,C70)</f>
        <v>#DIV/0!</v>
      </c>
      <c r="D22" s="128" t="e">
        <f t="shared" si="4"/>
        <v>#DIV/0!</v>
      </c>
      <c r="E22" s="128" t="e">
        <f t="shared" si="4"/>
        <v>#DIV/0!</v>
      </c>
      <c r="F22" s="128" t="e">
        <f t="shared" si="4"/>
        <v>#DIV/0!</v>
      </c>
      <c r="G22" s="128" t="e">
        <f t="shared" si="4"/>
        <v>#DIV/0!</v>
      </c>
      <c r="H22" s="158" t="s">
        <v>161</v>
      </c>
      <c r="I22" s="127">
        <f>I21/(PROFILE!F28)</f>
        <v>0</v>
      </c>
      <c r="J22" s="158" t="s">
        <v>155</v>
      </c>
      <c r="K22" s="128">
        <f t="shared" ref="K22:K25" si="5">SUM(K31,K39,K47,K55,K63,K71)</f>
        <v>0</v>
      </c>
      <c r="L22" s="163" t="s">
        <v>164</v>
      </c>
      <c r="M22" s="130">
        <f>SUM(M32,M40,M48,M56,M64,M72)/(PROFILE!$F$28)</f>
        <v>0.32333333333333331</v>
      </c>
    </row>
    <row r="23" spans="1:14" x14ac:dyDescent="0.35">
      <c r="A23" s="21"/>
      <c r="B23" s="126" t="s">
        <v>198</v>
      </c>
      <c r="C23" s="128" t="e">
        <f>SUM(C31,C39,C47,C55,C63,C71)</f>
        <v>#DIV/0!</v>
      </c>
      <c r="D23" s="128" t="e">
        <f t="shared" si="4"/>
        <v>#DIV/0!</v>
      </c>
      <c r="E23" s="128" t="e">
        <f t="shared" si="4"/>
        <v>#DIV/0!</v>
      </c>
      <c r="F23" s="128" t="e">
        <f t="shared" si="4"/>
        <v>#DIV/0!</v>
      </c>
      <c r="G23" s="128" t="e">
        <f t="shared" si="4"/>
        <v>#DIV/0!</v>
      </c>
      <c r="H23" s="158" t="s">
        <v>152</v>
      </c>
      <c r="I23" s="131">
        <f>(I30*I31*I32)+(I38*I39*I40)+(I46*I47*I48)+(I54*I55*I56)+(I62*I63*I64)+(I70*I71*I72)</f>
        <v>0</v>
      </c>
      <c r="J23" s="163" t="s">
        <v>159</v>
      </c>
      <c r="K23" s="128">
        <f t="shared" si="5"/>
        <v>0</v>
      </c>
      <c r="L23" s="168" t="s">
        <v>166</v>
      </c>
      <c r="M23" s="130">
        <f>SUM(M33,M41,M49,M57,M65,M73)/(PROFILE!$F$28)</f>
        <v>0.01</v>
      </c>
    </row>
    <row r="24" spans="1:14" x14ac:dyDescent="0.35">
      <c r="A24" s="21"/>
      <c r="B24" s="126" t="s">
        <v>151</v>
      </c>
      <c r="C24" s="128">
        <f>SUM(C32,C40,C48,C56,C64,C72)</f>
        <v>-1900</v>
      </c>
      <c r="D24" s="128">
        <f t="shared" si="4"/>
        <v>-1957</v>
      </c>
      <c r="E24" s="128">
        <f t="shared" si="4"/>
        <v>-2015.71</v>
      </c>
      <c r="F24" s="128">
        <f t="shared" si="4"/>
        <v>-2076.1813000000002</v>
      </c>
      <c r="G24" s="128">
        <f t="shared" si="4"/>
        <v>-2138.4667390000004</v>
      </c>
      <c r="H24" s="158"/>
      <c r="I24" s="128"/>
      <c r="J24" s="163" t="s">
        <v>156</v>
      </c>
      <c r="K24" s="128">
        <f t="shared" si="5"/>
        <v>0</v>
      </c>
      <c r="L24" s="168"/>
      <c r="M24" s="21"/>
    </row>
    <row r="25" spans="1:14" x14ac:dyDescent="0.35">
      <c r="A25" s="21"/>
      <c r="B25" s="126"/>
      <c r="C25" s="128"/>
      <c r="D25" s="128"/>
      <c r="E25" s="128"/>
      <c r="F25" s="128"/>
      <c r="G25" s="128"/>
      <c r="H25" s="158"/>
      <c r="I25" s="128"/>
      <c r="J25" s="163" t="s">
        <v>162</v>
      </c>
      <c r="K25" s="128">
        <f t="shared" si="5"/>
        <v>1900</v>
      </c>
      <c r="L25" s="168"/>
      <c r="M25" s="128"/>
    </row>
    <row r="26" spans="1:14" x14ac:dyDescent="0.35">
      <c r="A26" s="21"/>
      <c r="B26" s="126"/>
      <c r="C26" s="128"/>
      <c r="D26" s="128"/>
      <c r="E26" s="128"/>
      <c r="F26" s="128"/>
      <c r="G26" s="128"/>
      <c r="H26" s="158"/>
      <c r="I26" s="128"/>
      <c r="J26" s="163"/>
      <c r="K26" s="128"/>
      <c r="L26" s="168"/>
      <c r="M26" s="128"/>
    </row>
    <row r="27" spans="1:14" x14ac:dyDescent="0.35">
      <c r="A27" s="21"/>
      <c r="B27" s="61"/>
      <c r="C27" s="48"/>
      <c r="D27" s="48"/>
      <c r="E27" s="48"/>
      <c r="F27" s="48"/>
      <c r="G27" s="48"/>
      <c r="H27" s="159"/>
      <c r="I27" s="21"/>
      <c r="J27" s="159"/>
      <c r="K27" s="21"/>
      <c r="L27" s="159"/>
      <c r="M27" s="21"/>
    </row>
    <row r="28" spans="1:14" x14ac:dyDescent="0.35">
      <c r="A28" s="21"/>
      <c r="B28" s="153" t="s">
        <v>91</v>
      </c>
      <c r="C28" s="154"/>
      <c r="D28" s="154"/>
      <c r="E28" s="154"/>
      <c r="F28" s="154"/>
      <c r="G28" s="154"/>
      <c r="H28" s="160"/>
      <c r="I28" s="155"/>
      <c r="J28" s="164"/>
      <c r="K28" s="155"/>
      <c r="L28" s="164"/>
      <c r="M28" s="156"/>
    </row>
    <row r="29" spans="1:14" x14ac:dyDescent="0.35">
      <c r="A29" s="21"/>
      <c r="B29" s="61" t="s">
        <v>137</v>
      </c>
      <c r="C29" s="132">
        <f>((I29*60)*I30*I31*I32)*M32</f>
        <v>0</v>
      </c>
      <c r="D29" s="132">
        <f>C29</f>
        <v>0</v>
      </c>
      <c r="E29" s="132">
        <f t="shared" ref="E29:G29" si="6">D29</f>
        <v>0</v>
      </c>
      <c r="F29" s="132">
        <f t="shared" si="6"/>
        <v>0</v>
      </c>
      <c r="G29" s="132">
        <f t="shared" si="6"/>
        <v>0</v>
      </c>
      <c r="H29" s="161" t="s">
        <v>123</v>
      </c>
      <c r="I29" s="52">
        <f>SUM(PROFILE!M30:M31)</f>
        <v>0</v>
      </c>
      <c r="J29" s="165" t="s">
        <v>141</v>
      </c>
      <c r="K29" s="48">
        <f>M29</f>
        <v>0</v>
      </c>
      <c r="L29" s="161" t="s">
        <v>128</v>
      </c>
      <c r="M29" s="180"/>
    </row>
    <row r="30" spans="1:14" x14ac:dyDescent="0.35">
      <c r="A30" s="21"/>
      <c r="B30" s="61" t="s">
        <v>139</v>
      </c>
      <c r="C30" s="53" t="e">
        <f>C29*C$11</f>
        <v>#DIV/0!</v>
      </c>
      <c r="D30" s="53" t="e">
        <f t="shared" ref="D30:G30" si="7">D29*D$11</f>
        <v>#DIV/0!</v>
      </c>
      <c r="E30" s="53" t="e">
        <f t="shared" si="7"/>
        <v>#DIV/0!</v>
      </c>
      <c r="F30" s="53" t="e">
        <f t="shared" si="7"/>
        <v>#DIV/0!</v>
      </c>
      <c r="G30" s="53" t="e">
        <f t="shared" si="7"/>
        <v>#DIV/0!</v>
      </c>
      <c r="H30" s="161" t="s">
        <v>125</v>
      </c>
      <c r="I30" s="52">
        <f>(PROFILE!M26)</f>
        <v>0</v>
      </c>
      <c r="J30" s="161" t="s">
        <v>142</v>
      </c>
      <c r="K30" s="75"/>
      <c r="L30" s="161" t="s">
        <v>145</v>
      </c>
      <c r="M30" s="180"/>
    </row>
    <row r="31" spans="1:14" x14ac:dyDescent="0.35">
      <c r="A31" s="21"/>
      <c r="B31" s="61" t="s">
        <v>138</v>
      </c>
      <c r="C31" s="53" t="e">
        <f>-((($M$31*$I$33)/1000)*($I$30*$I$31*$I$32))*C13</f>
        <v>#DIV/0!</v>
      </c>
      <c r="D31" s="53" t="e">
        <f>C31+(C31*C14)</f>
        <v>#DIV/0!</v>
      </c>
      <c r="E31" s="53" t="e">
        <f>D31+(D31*C14)</f>
        <v>#DIV/0!</v>
      </c>
      <c r="F31" s="53" t="e">
        <f>E31+(E31*C14)</f>
        <v>#DIV/0!</v>
      </c>
      <c r="G31" s="53" t="e">
        <f>F31+(F31*C14)</f>
        <v>#DIV/0!</v>
      </c>
      <c r="H31" s="161" t="s">
        <v>126</v>
      </c>
      <c r="I31" s="52">
        <f>(PROFILE!M27)</f>
        <v>0</v>
      </c>
      <c r="J31" s="165" t="s">
        <v>140</v>
      </c>
      <c r="K31" s="75"/>
      <c r="L31" s="161" t="s">
        <v>144</v>
      </c>
      <c r="M31" s="180"/>
    </row>
    <row r="32" spans="1:14" x14ac:dyDescent="0.35">
      <c r="A32" s="21"/>
      <c r="B32" s="61" t="s">
        <v>149</v>
      </c>
      <c r="C32" s="53">
        <f>-(K34)</f>
        <v>0</v>
      </c>
      <c r="D32" s="53">
        <f>C32+(C32*$M$33)</f>
        <v>0</v>
      </c>
      <c r="E32" s="53">
        <f t="shared" ref="E32:G32" si="8">D32+(D32*$M$33)</f>
        <v>0</v>
      </c>
      <c r="F32" s="53">
        <f t="shared" si="8"/>
        <v>0</v>
      </c>
      <c r="G32" s="53">
        <f t="shared" si="8"/>
        <v>0</v>
      </c>
      <c r="H32" s="161" t="s">
        <v>127</v>
      </c>
      <c r="I32" s="52">
        <f>(PROFILE!M28)</f>
        <v>0</v>
      </c>
      <c r="J32" s="161" t="s">
        <v>158</v>
      </c>
      <c r="K32" s="75"/>
      <c r="L32" s="161" t="s">
        <v>143</v>
      </c>
      <c r="M32" s="181"/>
    </row>
    <row r="33" spans="1:16" x14ac:dyDescent="0.35">
      <c r="A33" s="21"/>
      <c r="B33" s="61"/>
      <c r="C33" s="48"/>
      <c r="D33" s="48"/>
      <c r="E33" s="48"/>
      <c r="F33" s="48"/>
      <c r="G33" s="48"/>
      <c r="H33" s="161" t="s">
        <v>124</v>
      </c>
      <c r="I33" s="60">
        <f>(PROFILE!M35)</f>
        <v>0</v>
      </c>
      <c r="J33" s="166" t="s">
        <v>157</v>
      </c>
      <c r="K33" s="75"/>
      <c r="L33" s="161" t="s">
        <v>165</v>
      </c>
      <c r="M33" s="181"/>
      <c r="P33" s="43"/>
    </row>
    <row r="34" spans="1:16" ht="13.15" x14ac:dyDescent="0.4">
      <c r="A34" s="21"/>
      <c r="B34" s="61"/>
      <c r="C34" s="48"/>
      <c r="D34" s="48"/>
      <c r="E34" s="48"/>
      <c r="F34" s="48"/>
      <c r="G34" s="48"/>
      <c r="H34" s="140"/>
      <c r="I34" s="60"/>
      <c r="J34" s="161" t="s">
        <v>160</v>
      </c>
      <c r="K34" s="75"/>
      <c r="L34" s="161" t="s">
        <v>75</v>
      </c>
      <c r="M34" s="96"/>
      <c r="P34" s="42"/>
    </row>
    <row r="35" spans="1:16" ht="13.15" x14ac:dyDescent="0.4">
      <c r="A35" s="21"/>
      <c r="B35" s="21"/>
      <c r="C35" s="21"/>
      <c r="D35" s="21"/>
      <c r="E35" s="21"/>
      <c r="F35" s="21"/>
      <c r="G35" s="21"/>
      <c r="H35" s="138"/>
      <c r="I35" s="64"/>
      <c r="J35" s="138"/>
      <c r="K35" s="48"/>
      <c r="L35" s="138"/>
      <c r="M35" s="96"/>
    </row>
    <row r="36" spans="1:16" ht="13.15" x14ac:dyDescent="0.4">
      <c r="A36" s="21"/>
      <c r="B36" s="179" t="str">
        <f>PROFILE!$L$40</f>
        <v>Homogenizer 02</v>
      </c>
      <c r="C36" s="50"/>
      <c r="D36" s="50"/>
      <c r="E36" s="50"/>
      <c r="F36" s="50"/>
      <c r="G36" s="50"/>
      <c r="H36" s="182"/>
      <c r="I36" s="64"/>
      <c r="J36" s="183"/>
      <c r="K36" s="50"/>
      <c r="L36" s="183"/>
      <c r="M36" s="184"/>
    </row>
    <row r="37" spans="1:16" x14ac:dyDescent="0.35">
      <c r="A37" s="21"/>
      <c r="B37" s="61" t="str">
        <f>IF($B$36&lt;&gt;"", "Annual Gallons Saved:", "")</f>
        <v>Annual Gallons Saved:</v>
      </c>
      <c r="C37" s="132" t="str">
        <f>IF(((I37*60)*I38*I39*I40)*M40=0, "", ((I37*60)*I38*I39*I40)*M40)</f>
        <v/>
      </c>
      <c r="D37" s="132" t="str">
        <f>C37</f>
        <v/>
      </c>
      <c r="E37" s="132" t="str">
        <f t="shared" ref="E37" si="9">D37</f>
        <v/>
      </c>
      <c r="F37" s="132" t="str">
        <f t="shared" ref="F37" si="10">E37</f>
        <v/>
      </c>
      <c r="G37" s="132" t="str">
        <f t="shared" ref="G37" si="11">F37</f>
        <v/>
      </c>
      <c r="H37" s="161" t="str">
        <f>IF($B$36&lt;&gt;"", "Total Flow Rate (GPM):", "")</f>
        <v>Total Flow Rate (GPM):</v>
      </c>
      <c r="I37" s="52">
        <f>SUM(PROFILE!M46:M47)</f>
        <v>0</v>
      </c>
      <c r="J37" s="165" t="str">
        <f>IF($B$36&lt;&gt;"", "System Model:", "")</f>
        <v>System Model:</v>
      </c>
      <c r="K37" s="48" t="str">
        <f>M37</f>
        <v>HWRS-S+-V5</v>
      </c>
      <c r="L37" s="161" t="str">
        <f>IF($B$36&lt;&gt;"", "Model:", "")</f>
        <v>Model:</v>
      </c>
      <c r="M37" s="191" t="s">
        <v>199</v>
      </c>
    </row>
    <row r="38" spans="1:16" x14ac:dyDescent="0.35">
      <c r="A38" s="21"/>
      <c r="B38" s="61" t="str">
        <f>IF($B$36&lt;&gt;"", "Annual Water/Sewer Savings:", "")</f>
        <v>Annual Water/Sewer Savings:</v>
      </c>
      <c r="C38" s="53" t="str">
        <f>IFERROR(C37*C$11, "")</f>
        <v/>
      </c>
      <c r="D38" s="53" t="str">
        <f t="shared" ref="D38" si="12">IFERROR(D37*D$11, "")</f>
        <v/>
      </c>
      <c r="E38" s="53" t="str">
        <f t="shared" ref="E38" si="13">IFERROR(E37*E$11, "")</f>
        <v/>
      </c>
      <c r="F38" s="53" t="str">
        <f t="shared" ref="F38" si="14">IFERROR(F37*F$11, "")</f>
        <v/>
      </c>
      <c r="G38" s="53" t="str">
        <f t="shared" ref="G38" si="15">IFERROR(G37*G$11, "")</f>
        <v/>
      </c>
      <c r="H38" s="161" t="str">
        <f>IF($B$36&lt;&gt;"", "Run Hours/Day (Hours):", "")</f>
        <v>Run Hours/Day (Hours):</v>
      </c>
      <c r="I38" s="52">
        <f>(PROFILE!M42)</f>
        <v>0</v>
      </c>
      <c r="J38" s="161" t="str">
        <f>IF($B$36&lt;&gt;"", "System Cost:", "")</f>
        <v>System Cost:</v>
      </c>
      <c r="K38" s="75"/>
      <c r="L38" s="161" t="str">
        <f>IF($B$36&lt;&gt;"", "Serial No:", "")</f>
        <v>Serial No:</v>
      </c>
      <c r="M38" s="180"/>
    </row>
    <row r="39" spans="1:16" x14ac:dyDescent="0.35">
      <c r="A39" s="21"/>
      <c r="B39" s="61" t="str">
        <f>IF($B$36&lt;&gt;"", "Electric Cost:", "")</f>
        <v>Electric Cost:</v>
      </c>
      <c r="C39" s="53" t="e">
        <f>IF(-((M39*I41)/1000)*I38*I39*I40*C$13=0, "", -((M39*I41)/1000)*I38*I39*I40*C$13)</f>
        <v>#DIV/0!</v>
      </c>
      <c r="D39" s="53" t="str">
        <f>IFERROR(C39+(C39*$C$14), "")</f>
        <v/>
      </c>
      <c r="E39" s="53" t="str">
        <f t="shared" ref="E39:G39" si="16">IFERROR(D39+(D39*$C$14), "")</f>
        <v/>
      </c>
      <c r="F39" s="53" t="str">
        <f t="shared" si="16"/>
        <v/>
      </c>
      <c r="G39" s="53" t="str">
        <f t="shared" si="16"/>
        <v/>
      </c>
      <c r="H39" s="161" t="str">
        <f>IF($B$36&lt;&gt;"", "Run Days/Week (Days):", "")</f>
        <v>Run Days/Week (Days):</v>
      </c>
      <c r="I39" s="52">
        <f>(PROFILE!M43)</f>
        <v>0</v>
      </c>
      <c r="J39" s="165" t="str">
        <f>IF($B$36&lt;&gt;"", "Shipping Cost:", "")</f>
        <v>Shipping Cost:</v>
      </c>
      <c r="K39" s="75"/>
      <c r="L39" s="161" t="str">
        <f>IF($B$36&lt;&gt;"", "System Amperage (A):", "")</f>
        <v>System Amperage (A):</v>
      </c>
      <c r="M39" s="180">
        <v>0.65</v>
      </c>
    </row>
    <row r="40" spans="1:16" x14ac:dyDescent="0.35">
      <c r="A40" s="21"/>
      <c r="B40" s="61" t="str">
        <f>IF($B$36&lt;&gt;"", "O&amp;M (Parts) Cost:", "")</f>
        <v>O&amp;M (Parts) Cost:</v>
      </c>
      <c r="C40" s="53">
        <f>IF(K42="", "", -K42)</f>
        <v>-1900</v>
      </c>
      <c r="D40" s="53">
        <f>IFERROR(C40+(C40*$M41), "")</f>
        <v>-1957</v>
      </c>
      <c r="E40" s="53">
        <f>IFERROR(D40+(D40*$M41), "")</f>
        <v>-2015.71</v>
      </c>
      <c r="F40" s="53">
        <f>IFERROR(E40+(E40*$M41), "")</f>
        <v>-2076.1813000000002</v>
      </c>
      <c r="G40" s="53">
        <f>IFERROR(F40+(F40*$M41), "")</f>
        <v>-2138.4667390000004</v>
      </c>
      <c r="H40" s="161" t="str">
        <f>IF($B$36&lt;&gt;"", "Run Weeks/Year (Weeks):", "")</f>
        <v>Run Weeks/Year (Weeks):</v>
      </c>
      <c r="I40" s="52">
        <f>(PROFILE!M44)</f>
        <v>0</v>
      </c>
      <c r="J40" s="161" t="str">
        <f>IF($B$36&lt;&gt;"", "Integration Service Cost:", "")</f>
        <v>Integration Service Cost:</v>
      </c>
      <c r="K40" s="75"/>
      <c r="L40" s="161" t="str">
        <f>IF($B$36&lt;&gt;"", "Water Recapture Rate:", "")</f>
        <v>Water Recapture Rate:</v>
      </c>
      <c r="M40" s="181">
        <v>0.97</v>
      </c>
    </row>
    <row r="41" spans="1:16" x14ac:dyDescent="0.35">
      <c r="A41" s="21"/>
      <c r="B41" s="61"/>
      <c r="C41" s="133"/>
      <c r="D41" s="133"/>
      <c r="E41" s="133"/>
      <c r="F41" s="133"/>
      <c r="G41" s="133"/>
      <c r="H41" s="161" t="str">
        <f>IF($B$36&lt;&gt;"", "Electrical Supply (V):", "")</f>
        <v>Electrical Supply (V):</v>
      </c>
      <c r="I41" s="60">
        <f>(PROFILE!M51)</f>
        <v>0</v>
      </c>
      <c r="J41" s="166" t="str">
        <f>IF($B$36&lt;&gt;"", "Installation Cost:", "")</f>
        <v>Installation Cost:</v>
      </c>
      <c r="K41" s="75"/>
      <c r="L41" s="161" t="str">
        <f>IF($B$36&lt;&gt;"", "Annual Esc. Rate (Parts):", "")</f>
        <v>Annual Esc. Rate (Parts):</v>
      </c>
      <c r="M41" s="181">
        <v>0.03</v>
      </c>
    </row>
    <row r="42" spans="1:16" ht="13.15" x14ac:dyDescent="0.4">
      <c r="A42" s="21"/>
      <c r="B42" s="61"/>
      <c r="C42" s="48"/>
      <c r="D42" s="48"/>
      <c r="E42" s="48"/>
      <c r="F42" s="48"/>
      <c r="G42" s="48"/>
      <c r="H42" s="138"/>
      <c r="I42" s="21"/>
      <c r="J42" s="161" t="str">
        <f>IF($B$36&lt;&gt;"", "Est. Annual O&amp;M Cost (Filters &amp; Bulbs):", "")</f>
        <v>Est. Annual O&amp;M Cost (Filters &amp; Bulbs):</v>
      </c>
      <c r="K42" s="75">
        <v>1900</v>
      </c>
      <c r="L42" s="161" t="str">
        <f>IF($B$36&lt;&gt;"", "Notes:", "")</f>
        <v>Notes:</v>
      </c>
      <c r="M42" s="96"/>
    </row>
    <row r="43" spans="1:16" ht="13.15" x14ac:dyDescent="0.4">
      <c r="A43" s="21"/>
      <c r="B43" s="61"/>
      <c r="C43" s="48"/>
      <c r="D43" s="48"/>
      <c r="E43" s="48"/>
      <c r="F43" s="48"/>
      <c r="G43" s="48"/>
      <c r="H43" s="138"/>
      <c r="I43" s="21"/>
      <c r="J43" s="161"/>
      <c r="K43" s="58"/>
      <c r="L43" s="161"/>
      <c r="M43" s="96"/>
    </row>
    <row r="44" spans="1:16" ht="13.15" x14ac:dyDescent="0.4">
      <c r="A44" s="21"/>
      <c r="B44" s="179" t="str">
        <f>PROFILE!$L$56</f>
        <v>Homogenizer 03</v>
      </c>
      <c r="C44" s="50"/>
      <c r="D44" s="50"/>
      <c r="E44" s="50"/>
      <c r="F44" s="50"/>
      <c r="G44" s="50"/>
      <c r="H44" s="182"/>
      <c r="I44" s="64"/>
      <c r="J44" s="183"/>
      <c r="K44" s="50"/>
      <c r="L44" s="183"/>
      <c r="M44" s="184"/>
    </row>
    <row r="45" spans="1:16" x14ac:dyDescent="0.35">
      <c r="A45" s="21"/>
      <c r="B45" s="61" t="str">
        <f>IF($B$44&lt;&gt;"", "Annual Gallons Saved:", "")</f>
        <v>Annual Gallons Saved:</v>
      </c>
      <c r="C45" s="132" t="str">
        <f>IF(((I45*60)*I46*I47*I48)*M48=0, "", ((I45*60)*I46*I47*I48)*M48)</f>
        <v/>
      </c>
      <c r="D45" s="132" t="str">
        <f>C45</f>
        <v/>
      </c>
      <c r="E45" s="132" t="str">
        <f t="shared" ref="E45:G45" si="17">D45</f>
        <v/>
      </c>
      <c r="F45" s="132" t="str">
        <f t="shared" si="17"/>
        <v/>
      </c>
      <c r="G45" s="132" t="str">
        <f t="shared" si="17"/>
        <v/>
      </c>
      <c r="H45" s="161" t="str">
        <f>IF($B$44&lt;&gt;"", "Total Flow Rate (GPM):", "")</f>
        <v>Total Flow Rate (GPM):</v>
      </c>
      <c r="I45" s="52">
        <f>(PROFILE!M62)</f>
        <v>0</v>
      </c>
      <c r="J45" s="165" t="str">
        <f>IF($B$44&lt;&gt;"", "System Model:", "")</f>
        <v>System Model:</v>
      </c>
      <c r="K45" s="48">
        <f>M45</f>
        <v>0</v>
      </c>
      <c r="L45" s="161" t="str">
        <f>IF($B$44&lt;&gt;"", "Model:", "")</f>
        <v>Model:</v>
      </c>
      <c r="M45" s="191"/>
    </row>
    <row r="46" spans="1:16" x14ac:dyDescent="0.35">
      <c r="A46" s="21"/>
      <c r="B46" s="61" t="str">
        <f>IF($B$44&lt;&gt;"", "Annual Water/Sewer Savings:", "")</f>
        <v>Annual Water/Sewer Savings:</v>
      </c>
      <c r="C46" s="53" t="str">
        <f t="shared" ref="C46:G46" si="18">IFERROR(C45*C$11, "")</f>
        <v/>
      </c>
      <c r="D46" s="53" t="str">
        <f t="shared" si="18"/>
        <v/>
      </c>
      <c r="E46" s="53" t="str">
        <f t="shared" si="18"/>
        <v/>
      </c>
      <c r="F46" s="53" t="str">
        <f t="shared" si="18"/>
        <v/>
      </c>
      <c r="G46" s="53" t="str">
        <f t="shared" si="18"/>
        <v/>
      </c>
      <c r="H46" s="161" t="str">
        <f>IF($B$44&lt;&gt;"", "Run Hours/Day (Hours):", "")</f>
        <v>Run Hours/Day (Hours):</v>
      </c>
      <c r="I46" s="52">
        <f>(PROFILE!M58)</f>
        <v>0</v>
      </c>
      <c r="J46" s="161" t="str">
        <f>IF($B$44&lt;&gt;"", "System Cost:", "")</f>
        <v>System Cost:</v>
      </c>
      <c r="K46" s="75"/>
      <c r="L46" s="161" t="str">
        <f>IF($B$44&lt;&gt;"", "Serial No:", "")</f>
        <v>Serial No:</v>
      </c>
      <c r="M46" s="191"/>
    </row>
    <row r="47" spans="1:16" x14ac:dyDescent="0.35">
      <c r="A47" s="21"/>
      <c r="B47" s="61" t="str">
        <f>IF($B$44&lt;&gt;"", "Electric Cost:", "")</f>
        <v>Electric Cost:</v>
      </c>
      <c r="C47" s="53" t="e">
        <f>IF(-((M47*I49)/1000)*I46*I47*I48*C$13=0, "", -((M47*I49)/1000)*I46*I47*I48*C$13)</f>
        <v>#DIV/0!</v>
      </c>
      <c r="D47" s="53" t="str">
        <f>IFERROR(C47+(C47*$C$14), "")</f>
        <v/>
      </c>
      <c r="E47" s="53" t="str">
        <f t="shared" ref="E47:G47" si="19">IFERROR(D47+(D47*$C$14), "")</f>
        <v/>
      </c>
      <c r="F47" s="53" t="str">
        <f t="shared" si="19"/>
        <v/>
      </c>
      <c r="G47" s="53" t="str">
        <f t="shared" si="19"/>
        <v/>
      </c>
      <c r="H47" s="161" t="str">
        <f>IF($B$44&lt;&gt;"", "Run Days/Week (Days):", "")</f>
        <v>Run Days/Week (Days):</v>
      </c>
      <c r="I47" s="52">
        <f>(PROFILE!M59)</f>
        <v>0</v>
      </c>
      <c r="J47" s="165" t="str">
        <f>IF($B$44&lt;&gt;"", "Shipping Cost:", "")</f>
        <v>Shipping Cost:</v>
      </c>
      <c r="K47" s="75"/>
      <c r="L47" s="161" t="str">
        <f>IF($B$44&lt;&gt;"", "System Amperage (A):", "")</f>
        <v>System Amperage (A):</v>
      </c>
      <c r="M47" s="191"/>
    </row>
    <row r="48" spans="1:16" x14ac:dyDescent="0.35">
      <c r="A48" s="21"/>
      <c r="B48" s="61" t="str">
        <f>IF($B$44&lt;&gt;"", "O&amp;M (Parts) Cost:", "")</f>
        <v>O&amp;M (Parts) Cost:</v>
      </c>
      <c r="C48" s="53" t="str">
        <f>IF(K50="", "", -K50)</f>
        <v/>
      </c>
      <c r="D48" s="53" t="str">
        <f>IFERROR(C48+(C48*$M49), "")</f>
        <v/>
      </c>
      <c r="E48" s="53" t="str">
        <f>IFERROR(D48+(D48*$M49), "")</f>
        <v/>
      </c>
      <c r="F48" s="53" t="str">
        <f>IFERROR(E48+(E48*$M49), "")</f>
        <v/>
      </c>
      <c r="G48" s="53" t="str">
        <f>IFERROR(F48+(F48*$M49), "")</f>
        <v/>
      </c>
      <c r="H48" s="161" t="str">
        <f>IF($B$44&lt;&gt;"", "Run Weeks/Year (Weeks):", "")</f>
        <v>Run Weeks/Year (Weeks):</v>
      </c>
      <c r="I48" s="52">
        <f>(PROFILE!M60)</f>
        <v>0</v>
      </c>
      <c r="J48" s="161" t="str">
        <f>IF($B$44&lt;&gt;"", "Integration Service Cost:", "")</f>
        <v>Integration Service Cost:</v>
      </c>
      <c r="K48" s="75"/>
      <c r="L48" s="161" t="str">
        <f>IF($B$44&lt;&gt;"", "Water Recapture Rate:", "")</f>
        <v>Water Recapture Rate:</v>
      </c>
      <c r="M48" s="192"/>
    </row>
    <row r="49" spans="1:18" x14ac:dyDescent="0.35">
      <c r="A49" s="21"/>
      <c r="B49" s="61"/>
      <c r="C49" s="133"/>
      <c r="D49" s="133"/>
      <c r="E49" s="133"/>
      <c r="F49" s="133"/>
      <c r="G49" s="133"/>
      <c r="H49" s="161" t="str">
        <f>IF($B$44&lt;&gt;"", "Electrical Supply (V):", "")</f>
        <v>Electrical Supply (V):</v>
      </c>
      <c r="I49" s="60">
        <f>(PROFILE!M67)</f>
        <v>0</v>
      </c>
      <c r="J49" s="166" t="str">
        <f>IF($B$44&lt;&gt;"", "Installation Cost:", "")</f>
        <v>Installation Cost:</v>
      </c>
      <c r="K49" s="75"/>
      <c r="L49" s="161" t="str">
        <f>IF($B$44&lt;&gt;"", "Annual Esc. Rate (Parts):", "")</f>
        <v>Annual Esc. Rate (Parts):</v>
      </c>
      <c r="M49" s="192"/>
    </row>
    <row r="50" spans="1:18" ht="13.15" x14ac:dyDescent="0.4">
      <c r="A50" s="21"/>
      <c r="B50" s="61"/>
      <c r="C50" s="48"/>
      <c r="D50" s="48"/>
      <c r="E50" s="48"/>
      <c r="F50" s="48"/>
      <c r="G50" s="48"/>
      <c r="H50" s="138"/>
      <c r="I50" s="21"/>
      <c r="J50" s="161" t="str">
        <f>IF($B$44&lt;&gt;"", "Est. Annual O&amp;M Cost (Filters &amp; Bulbs):", "")</f>
        <v>Est. Annual O&amp;M Cost (Filters &amp; Bulbs):</v>
      </c>
      <c r="K50" s="75"/>
      <c r="L50" s="161" t="str">
        <f>IF($B$44&lt;&gt;"", "Notes:", "")</f>
        <v>Notes:</v>
      </c>
      <c r="M50" s="96"/>
      <c r="N50" s="50"/>
      <c r="O50" s="50"/>
      <c r="P50" s="50"/>
      <c r="Q50" s="50"/>
      <c r="R50" s="64"/>
    </row>
    <row r="51" spans="1:18" ht="13.15" x14ac:dyDescent="0.4">
      <c r="A51" s="21"/>
      <c r="B51" s="61"/>
      <c r="C51" s="48"/>
      <c r="D51" s="48"/>
      <c r="E51" s="48"/>
      <c r="F51" s="48"/>
      <c r="G51" s="48"/>
      <c r="H51" s="138"/>
      <c r="I51" s="21"/>
      <c r="J51" s="161"/>
      <c r="K51" s="58"/>
      <c r="L51" s="161"/>
      <c r="M51" s="96"/>
      <c r="N51" s="50"/>
      <c r="O51" s="50"/>
      <c r="P51" s="50"/>
      <c r="Q51" s="50"/>
      <c r="R51" s="64"/>
    </row>
    <row r="52" spans="1:18" ht="13.15" x14ac:dyDescent="0.4">
      <c r="A52" s="21"/>
      <c r="B52" s="179" t="str">
        <f>PROFILE!$L$71</f>
        <v/>
      </c>
      <c r="C52" s="50"/>
      <c r="D52" s="50"/>
      <c r="E52" s="50"/>
      <c r="F52" s="50"/>
      <c r="G52" s="50"/>
      <c r="H52" s="182"/>
      <c r="I52" s="64"/>
      <c r="J52" s="183"/>
      <c r="K52" s="50"/>
      <c r="L52" s="183"/>
      <c r="M52" s="184"/>
      <c r="N52" s="50"/>
      <c r="O52" s="50"/>
      <c r="P52" s="50"/>
      <c r="Q52" s="50"/>
      <c r="R52" s="64"/>
    </row>
    <row r="53" spans="1:18" x14ac:dyDescent="0.35">
      <c r="A53" s="21"/>
      <c r="B53" s="61" t="str">
        <f>IF($B$52&lt;&gt;"", "Annual Gallons Saved:", "")</f>
        <v/>
      </c>
      <c r="C53" s="132" t="str">
        <f>IF(((I53*60)*I54*I55*I56)*M56=0, "", ((I53*60)*I54*I55*I56)*M56)</f>
        <v/>
      </c>
      <c r="D53" s="132" t="str">
        <f>C53</f>
        <v/>
      </c>
      <c r="E53" s="132" t="str">
        <f t="shared" ref="E53:G53" si="20">D53</f>
        <v/>
      </c>
      <c r="F53" s="132" t="str">
        <f t="shared" si="20"/>
        <v/>
      </c>
      <c r="G53" s="132" t="str">
        <f t="shared" si="20"/>
        <v/>
      </c>
      <c r="H53" s="161" t="str">
        <f>IF($B$52&lt;&gt;"", "Total Flow Rate (GPM):", "")</f>
        <v/>
      </c>
      <c r="I53" s="52">
        <f>(PROFILE!M77)</f>
        <v>0</v>
      </c>
      <c r="J53" s="165" t="str">
        <f>IF($B$52&lt;&gt;"", "System Model:", "")</f>
        <v/>
      </c>
      <c r="K53" s="48">
        <f>M53</f>
        <v>0</v>
      </c>
      <c r="L53" s="161" t="str">
        <f>IF($B$52&lt;&gt;"", "Model:", "")</f>
        <v/>
      </c>
      <c r="M53" s="180"/>
      <c r="N53" s="50"/>
      <c r="O53" s="50"/>
      <c r="P53" s="50"/>
      <c r="Q53" s="50"/>
      <c r="R53" s="64"/>
    </row>
    <row r="54" spans="1:18" x14ac:dyDescent="0.35">
      <c r="A54" s="21"/>
      <c r="B54" s="61" t="str">
        <f>IF($B$52&lt;&gt;"", "Annual Water/Sewer Savings:", "")</f>
        <v/>
      </c>
      <c r="C54" s="53" t="str">
        <f t="shared" ref="C54:G54" si="21">IFERROR(C53*C$11, "")</f>
        <v/>
      </c>
      <c r="D54" s="53" t="str">
        <f t="shared" si="21"/>
        <v/>
      </c>
      <c r="E54" s="53" t="str">
        <f t="shared" si="21"/>
        <v/>
      </c>
      <c r="F54" s="53" t="str">
        <f t="shared" si="21"/>
        <v/>
      </c>
      <c r="G54" s="53" t="str">
        <f t="shared" si="21"/>
        <v/>
      </c>
      <c r="H54" s="161" t="str">
        <f>IF($B$52&lt;&gt;"", "Run Hours/Day (Hours):", "")</f>
        <v/>
      </c>
      <c r="I54" s="52">
        <f>(PROFILE!M73)</f>
        <v>0</v>
      </c>
      <c r="J54" s="161" t="str">
        <f>IF($B$52&lt;&gt;"", "System Cost:", "")</f>
        <v/>
      </c>
      <c r="K54" s="75"/>
      <c r="L54" s="161" t="str">
        <f>IF($B$52&lt;&gt;"", "Serial No:", "")</f>
        <v/>
      </c>
      <c r="M54" s="180"/>
      <c r="N54" s="50"/>
      <c r="O54" s="50"/>
      <c r="P54" s="50"/>
      <c r="Q54" s="50"/>
      <c r="R54" s="64"/>
    </row>
    <row r="55" spans="1:18" x14ac:dyDescent="0.35">
      <c r="A55" s="21"/>
      <c r="B55" s="61" t="str">
        <f>IF($B$52&lt;&gt;"", "Electric Cost:", "")</f>
        <v/>
      </c>
      <c r="C55" s="53" t="e">
        <f>IF(-((M55*I57)/1000)*I54*I55*I56*C$13=0, "", -((M55*I57)/1000)*I54*I55*I56*C$13)</f>
        <v>#DIV/0!</v>
      </c>
      <c r="D55" s="53" t="str">
        <f>IFERROR(C55+(C55*$C$14), "")</f>
        <v/>
      </c>
      <c r="E55" s="53" t="str">
        <f t="shared" ref="E55:G55" si="22">IFERROR(D55+(D55*$C$14), "")</f>
        <v/>
      </c>
      <c r="F55" s="53" t="str">
        <f t="shared" si="22"/>
        <v/>
      </c>
      <c r="G55" s="53" t="str">
        <f t="shared" si="22"/>
        <v/>
      </c>
      <c r="H55" s="161" t="str">
        <f>IF($B$52&lt;&gt;"", "Run Days/Week (Days):", "")</f>
        <v/>
      </c>
      <c r="I55" s="52">
        <f>(PROFILE!M74)</f>
        <v>0</v>
      </c>
      <c r="J55" s="165" t="str">
        <f>IF($B$52&lt;&gt;"", "Shipping Cost:", "")</f>
        <v/>
      </c>
      <c r="K55" s="75"/>
      <c r="L55" s="161" t="str">
        <f>IF($B$52&lt;&gt;"", "System Amperage (A):", "")</f>
        <v/>
      </c>
      <c r="M55" s="180"/>
      <c r="N55" s="50"/>
      <c r="O55" s="50"/>
      <c r="P55" s="50"/>
      <c r="Q55" s="50"/>
      <c r="R55" s="64"/>
    </row>
    <row r="56" spans="1:18" x14ac:dyDescent="0.35">
      <c r="A56" s="21"/>
      <c r="B56" s="61" t="str">
        <f>IF($B$52&lt;&gt;"", "O&amp;M (Parts) Cost:", "")</f>
        <v/>
      </c>
      <c r="C56" s="53" t="str">
        <f>IF(K58="", "", -K58)</f>
        <v/>
      </c>
      <c r="D56" s="53" t="str">
        <f>IFERROR(C56+(C56*$M57), "")</f>
        <v/>
      </c>
      <c r="E56" s="53" t="str">
        <f>IFERROR(D56+(D56*$M57), "")</f>
        <v/>
      </c>
      <c r="F56" s="53" t="str">
        <f>IFERROR(E56+(E56*$M57), "")</f>
        <v/>
      </c>
      <c r="G56" s="53" t="str">
        <f>IFERROR(F56+(F56*$M57), "")</f>
        <v/>
      </c>
      <c r="H56" s="161" t="str">
        <f>IF($B$52&lt;&gt;"", "Run Weeks/Year (Weeks):", "")</f>
        <v/>
      </c>
      <c r="I56" s="52">
        <f>PROFILE!M75</f>
        <v>0</v>
      </c>
      <c r="J56" s="161" t="str">
        <f>IF($B$52&lt;&gt;"", "Integration Service Cost:", "")</f>
        <v/>
      </c>
      <c r="K56" s="75"/>
      <c r="L56" s="161" t="str">
        <f>IF($B$52&lt;&gt;"", "Water Recapture Rate:", "")</f>
        <v/>
      </c>
      <c r="M56" s="181"/>
      <c r="N56" s="50"/>
      <c r="O56" s="50"/>
      <c r="P56" s="50"/>
      <c r="Q56" s="50"/>
      <c r="R56" s="64"/>
    </row>
    <row r="57" spans="1:18" x14ac:dyDescent="0.35">
      <c r="A57" s="21"/>
      <c r="B57" s="61"/>
      <c r="C57" s="133"/>
      <c r="D57" s="133"/>
      <c r="E57" s="133"/>
      <c r="F57" s="133"/>
      <c r="G57" s="133"/>
      <c r="H57" s="161" t="str">
        <f>IF($B$52&lt;&gt;"", "Electrical Supply (V):", "")</f>
        <v/>
      </c>
      <c r="I57" s="60">
        <f>(PROFILE!M82)</f>
        <v>0</v>
      </c>
      <c r="J57" s="166" t="str">
        <f>IF($B$52&lt;&gt;"", "Installation Cost:", "")</f>
        <v/>
      </c>
      <c r="K57" s="75"/>
      <c r="L57" s="161" t="str">
        <f>IF($B$52&lt;&gt;"", "Annual Esc. Rate (Parts):", "")</f>
        <v/>
      </c>
      <c r="M57" s="181"/>
      <c r="N57" s="50"/>
      <c r="O57" s="50"/>
      <c r="P57" s="50"/>
      <c r="Q57" s="50"/>
      <c r="R57" s="64"/>
    </row>
    <row r="58" spans="1:18" ht="13.15" x14ac:dyDescent="0.4">
      <c r="A58" s="21"/>
      <c r="B58" s="61"/>
      <c r="C58" s="48"/>
      <c r="D58" s="48"/>
      <c r="E58" s="48"/>
      <c r="F58" s="48"/>
      <c r="G58" s="48"/>
      <c r="H58" s="138"/>
      <c r="I58" s="21"/>
      <c r="J58" s="161" t="str">
        <f>IF($B$52&lt;&gt;"", "Est. Annual O&amp;M Cost (Filters &amp; Bulbs):", "")</f>
        <v/>
      </c>
      <c r="K58" s="75"/>
      <c r="L58" s="161" t="str">
        <f>IF($B$52&lt;&gt;"", "Notes:", "")</f>
        <v/>
      </c>
      <c r="M58" s="96"/>
      <c r="N58" s="65"/>
      <c r="O58" s="65"/>
      <c r="P58" s="65"/>
      <c r="Q58" s="65"/>
      <c r="R58" s="64"/>
    </row>
    <row r="59" spans="1:18" ht="13.15" x14ac:dyDescent="0.4">
      <c r="A59" s="21"/>
      <c r="B59" s="61"/>
      <c r="C59" s="48"/>
      <c r="D59" s="48"/>
      <c r="E59" s="48"/>
      <c r="F59" s="48"/>
      <c r="G59" s="48"/>
      <c r="H59" s="138"/>
      <c r="I59" s="21"/>
      <c r="J59" s="161"/>
      <c r="K59" s="58"/>
      <c r="L59" s="161"/>
      <c r="M59" s="96"/>
      <c r="N59" s="65"/>
      <c r="O59" s="65"/>
      <c r="P59" s="65"/>
      <c r="Q59" s="65"/>
      <c r="R59" s="64"/>
    </row>
    <row r="60" spans="1:18" ht="13.15" x14ac:dyDescent="0.4">
      <c r="A60" s="21"/>
      <c r="B60" s="179" t="str">
        <f>PROFILE!$L$87</f>
        <v/>
      </c>
      <c r="C60" s="50"/>
      <c r="D60" s="50"/>
      <c r="E60" s="50"/>
      <c r="F60" s="50"/>
      <c r="G60" s="50"/>
      <c r="H60" s="182"/>
      <c r="I60" s="64"/>
      <c r="J60" s="183"/>
      <c r="K60" s="50"/>
      <c r="L60" s="183"/>
      <c r="M60" s="184"/>
      <c r="N60" s="66"/>
      <c r="O60" s="66"/>
      <c r="P60" s="66"/>
      <c r="Q60" s="66"/>
      <c r="R60" s="64"/>
    </row>
    <row r="61" spans="1:18" x14ac:dyDescent="0.35">
      <c r="A61" s="21"/>
      <c r="B61" s="61" t="str">
        <f>IF($B$60&lt;&gt;"", "Annual Gallons Saved:", "")</f>
        <v/>
      </c>
      <c r="C61" s="132" t="str">
        <f>IF(((I61*60)*I62*I63*I64)*M64=0, "", ((I61*60)*I62*I63*I64)*M64)</f>
        <v/>
      </c>
      <c r="D61" s="132" t="str">
        <f>C61</f>
        <v/>
      </c>
      <c r="E61" s="132" t="str">
        <f t="shared" ref="E61:G61" si="23">D61</f>
        <v/>
      </c>
      <c r="F61" s="132" t="str">
        <f t="shared" si="23"/>
        <v/>
      </c>
      <c r="G61" s="132" t="str">
        <f t="shared" si="23"/>
        <v/>
      </c>
      <c r="H61" s="161" t="str">
        <f>IF($B$60&lt;&gt;"", "Total Flow Rate (GPM):", "")</f>
        <v/>
      </c>
      <c r="I61" s="52">
        <f>(PROFILE!M93)</f>
        <v>0</v>
      </c>
      <c r="J61" s="165" t="str">
        <f>IF($B$60&lt;&gt;"", "System Model:", "")</f>
        <v/>
      </c>
      <c r="K61" s="48">
        <f>M61</f>
        <v>0</v>
      </c>
      <c r="L61" s="161" t="str">
        <f>IF($B$60&lt;&gt;"", "Model:", "")</f>
        <v/>
      </c>
      <c r="M61" s="180"/>
      <c r="N61" s="64"/>
      <c r="O61" s="64"/>
      <c r="P61" s="64"/>
      <c r="Q61" s="64"/>
      <c r="R61" s="64"/>
    </row>
    <row r="62" spans="1:18" x14ac:dyDescent="0.35">
      <c r="A62" s="21"/>
      <c r="B62" s="61" t="str">
        <f>IF($B$60&lt;&gt;"", "Annual Water/Sewer Savings:", "")</f>
        <v/>
      </c>
      <c r="C62" s="53" t="str">
        <f t="shared" ref="C62:G62" si="24">IFERROR(C61*C$11, "")</f>
        <v/>
      </c>
      <c r="D62" s="53" t="str">
        <f t="shared" si="24"/>
        <v/>
      </c>
      <c r="E62" s="53" t="str">
        <f t="shared" si="24"/>
        <v/>
      </c>
      <c r="F62" s="53" t="str">
        <f t="shared" si="24"/>
        <v/>
      </c>
      <c r="G62" s="53" t="str">
        <f t="shared" si="24"/>
        <v/>
      </c>
      <c r="H62" s="161" t="str">
        <f>IF($B$60&lt;&gt;"", "Run Hours/Day (Hours):", "")</f>
        <v/>
      </c>
      <c r="I62" s="52">
        <f>(PROFILE!M89)</f>
        <v>0</v>
      </c>
      <c r="J62" s="161" t="str">
        <f>IF($B$60&lt;&gt;"", "System Cost:", "")</f>
        <v/>
      </c>
      <c r="K62" s="75"/>
      <c r="L62" s="161" t="str">
        <f>IF($B$60&lt;&gt;"", "Serial No:", "")</f>
        <v/>
      </c>
      <c r="M62" s="180"/>
      <c r="N62" s="50"/>
      <c r="O62" s="50"/>
      <c r="P62" s="50"/>
      <c r="Q62" s="64"/>
      <c r="R62" s="64"/>
    </row>
    <row r="63" spans="1:18" x14ac:dyDescent="0.35">
      <c r="A63" s="21"/>
      <c r="B63" s="61" t="str">
        <f>IF($B$60&lt;&gt;"", "Electric Cost:", "")</f>
        <v/>
      </c>
      <c r="C63" s="53" t="e">
        <f>IF(-((M63*I65)/1000)*I62*I63*I64*C$13=0, "", -((M63*I65)/1000)*I62*I63*I64*C$13)</f>
        <v>#DIV/0!</v>
      </c>
      <c r="D63" s="53" t="str">
        <f>IFERROR(C63+(C63*$C$14), "")</f>
        <v/>
      </c>
      <c r="E63" s="53" t="str">
        <f t="shared" ref="E63:G63" si="25">IFERROR(D63+(D63*$C$14), "")</f>
        <v/>
      </c>
      <c r="F63" s="53" t="str">
        <f t="shared" si="25"/>
        <v/>
      </c>
      <c r="G63" s="53" t="str">
        <f t="shared" si="25"/>
        <v/>
      </c>
      <c r="H63" s="161" t="str">
        <f>IF($B$60&lt;&gt;"", "Run Days/Week (Days):", "")</f>
        <v/>
      </c>
      <c r="I63" s="52">
        <f>(PROFILE!M90)</f>
        <v>0</v>
      </c>
      <c r="J63" s="165" t="str">
        <f>IF($B$60&lt;&gt;"", "Shipping Cost:", "")</f>
        <v/>
      </c>
      <c r="K63" s="75"/>
      <c r="L63" s="161" t="str">
        <f>IF($B$60&lt;&gt;"", "System Amperage (A):", "")</f>
        <v/>
      </c>
      <c r="M63" s="180"/>
      <c r="N63" s="50"/>
      <c r="O63" s="50"/>
      <c r="P63" s="50"/>
      <c r="Q63" s="50"/>
      <c r="R63" s="64"/>
    </row>
    <row r="64" spans="1:18" x14ac:dyDescent="0.35">
      <c r="A64" s="21"/>
      <c r="B64" s="61" t="str">
        <f>IF($B$60&lt;&gt;"", "O&amp;M (Parts) Cost:", "")</f>
        <v/>
      </c>
      <c r="C64" s="53" t="str">
        <f>IF(K66="", "", -K66)</f>
        <v/>
      </c>
      <c r="D64" s="53" t="str">
        <f>IFERROR(C64+(C64*$M65), "")</f>
        <v/>
      </c>
      <c r="E64" s="53" t="str">
        <f>IFERROR(D64+(D64*$M65), "")</f>
        <v/>
      </c>
      <c r="F64" s="53" t="str">
        <f>IFERROR(E64+(E64*$M65), "")</f>
        <v/>
      </c>
      <c r="G64" s="53" t="str">
        <f>IFERROR(F64+(F64*$M65), "")</f>
        <v/>
      </c>
      <c r="H64" s="161" t="str">
        <f>IF($B$60&lt;&gt;"", "Run Weeks/Year (Weeks):", "")</f>
        <v/>
      </c>
      <c r="I64" s="52">
        <f>(PROFILE!M91)</f>
        <v>0</v>
      </c>
      <c r="J64" s="161" t="str">
        <f>IF($B$60&lt;&gt;"", "Integration Service Cost:", "")</f>
        <v/>
      </c>
      <c r="K64" s="75"/>
      <c r="L64" s="161" t="str">
        <f>IF($B$60&lt;&gt;"", "Water Recapture Rate:", "")</f>
        <v/>
      </c>
      <c r="M64" s="181"/>
      <c r="N64" s="50"/>
      <c r="O64" s="50"/>
      <c r="P64" s="50"/>
      <c r="Q64" s="50"/>
      <c r="R64" s="64"/>
    </row>
    <row r="65" spans="1:18" x14ac:dyDescent="0.35">
      <c r="A65" s="21"/>
      <c r="B65" s="61"/>
      <c r="C65" s="133"/>
      <c r="D65" s="133"/>
      <c r="E65" s="133"/>
      <c r="F65" s="133"/>
      <c r="G65" s="133"/>
      <c r="H65" s="161" t="str">
        <f>IF($B$60&lt;&gt;"", "Electrical Supply (V):", "")</f>
        <v/>
      </c>
      <c r="I65" s="60">
        <f>(PROFILE!M98)</f>
        <v>0</v>
      </c>
      <c r="J65" s="166" t="str">
        <f>IF($B$60&lt;&gt;"", "Installation Cost:", "")</f>
        <v/>
      </c>
      <c r="K65" s="75"/>
      <c r="L65" s="161" t="str">
        <f>IF($B$60&lt;&gt;"", "Annual Esc. Rate (Parts):", "")</f>
        <v/>
      </c>
      <c r="M65" s="181"/>
      <c r="N65" s="50"/>
      <c r="O65" s="50"/>
      <c r="P65" s="50"/>
      <c r="Q65" s="50"/>
      <c r="R65" s="64"/>
    </row>
    <row r="66" spans="1:18" ht="13.15" x14ac:dyDescent="0.4">
      <c r="A66" s="21"/>
      <c r="B66" s="61"/>
      <c r="C66" s="133"/>
      <c r="D66" s="133"/>
      <c r="E66" s="133"/>
      <c r="F66" s="133"/>
      <c r="G66" s="133"/>
      <c r="H66" s="138"/>
      <c r="I66" s="21"/>
      <c r="J66" s="161" t="str">
        <f>IF($B$60&lt;&gt;"", "Est. Annual O&amp;M Cost (Filters &amp; Bulbs):", "")</f>
        <v/>
      </c>
      <c r="K66" s="75"/>
      <c r="L66" s="161" t="str">
        <f>IF($B$60&lt;&gt;"", "Notes:", "")</f>
        <v/>
      </c>
      <c r="M66" s="96"/>
      <c r="N66" s="50"/>
      <c r="O66" s="50"/>
      <c r="P66" s="50"/>
      <c r="Q66" s="50"/>
      <c r="R66" s="64"/>
    </row>
    <row r="67" spans="1:18" ht="13.15" x14ac:dyDescent="0.4">
      <c r="A67" s="21"/>
      <c r="B67" s="61"/>
      <c r="C67" s="133"/>
      <c r="D67" s="133"/>
      <c r="E67" s="133"/>
      <c r="F67" s="133"/>
      <c r="G67" s="133"/>
      <c r="H67" s="138"/>
      <c r="I67" s="21"/>
      <c r="J67" s="161"/>
      <c r="K67" s="58"/>
      <c r="L67" s="161"/>
      <c r="M67" s="96"/>
      <c r="N67" s="50"/>
      <c r="O67" s="50"/>
      <c r="P67" s="50"/>
      <c r="Q67" s="50"/>
      <c r="R67" s="64"/>
    </row>
    <row r="68" spans="1:18" ht="13.15" x14ac:dyDescent="0.4">
      <c r="A68" s="21"/>
      <c r="B68" s="179" t="str">
        <f>PROFILE!$L$103</f>
        <v/>
      </c>
      <c r="C68" s="50"/>
      <c r="D68" s="50"/>
      <c r="E68" s="50"/>
      <c r="F68" s="50"/>
      <c r="G68" s="50"/>
      <c r="H68" s="182"/>
      <c r="I68" s="64"/>
      <c r="J68" s="183"/>
      <c r="K68" s="50"/>
      <c r="L68" s="183"/>
      <c r="M68" s="184"/>
      <c r="N68" s="50"/>
      <c r="O68" s="50"/>
      <c r="P68" s="50"/>
      <c r="Q68" s="50"/>
      <c r="R68" s="64"/>
    </row>
    <row r="69" spans="1:18" x14ac:dyDescent="0.35">
      <c r="A69" s="21"/>
      <c r="B69" s="61" t="str">
        <f>IF($B$68&lt;&gt;"", "Annual Gallons Saved:", "")</f>
        <v/>
      </c>
      <c r="C69" s="132" t="str">
        <f>IF(((I69*60)*I70*I71*I72)*M72=0, "", ((I69*60)*I70*I71*I72)*M72)</f>
        <v/>
      </c>
      <c r="D69" s="132" t="str">
        <f>C69</f>
        <v/>
      </c>
      <c r="E69" s="132" t="str">
        <f t="shared" ref="E69:G69" si="26">D69</f>
        <v/>
      </c>
      <c r="F69" s="132" t="str">
        <f t="shared" si="26"/>
        <v/>
      </c>
      <c r="G69" s="132" t="str">
        <f t="shared" si="26"/>
        <v/>
      </c>
      <c r="H69" s="161" t="str">
        <f>IF($B$68&lt;&gt;"", "Total Flow Rate (GPM):", "")</f>
        <v/>
      </c>
      <c r="I69" s="52">
        <f>(PROFILE!M109)</f>
        <v>0</v>
      </c>
      <c r="J69" s="165" t="str">
        <f>IF($B$68&lt;&gt;"", "System Model:", "")</f>
        <v/>
      </c>
      <c r="K69" s="48">
        <f>M69</f>
        <v>0</v>
      </c>
      <c r="L69" s="161" t="str">
        <f>IF($B$68&lt;&gt;"", "Model:", "")</f>
        <v/>
      </c>
      <c r="M69" s="180"/>
      <c r="N69" s="67"/>
      <c r="O69" s="67"/>
      <c r="P69" s="67"/>
      <c r="Q69" s="67"/>
      <c r="R69" s="64"/>
    </row>
    <row r="70" spans="1:18" x14ac:dyDescent="0.35">
      <c r="A70" s="21"/>
      <c r="B70" s="61" t="str">
        <f>IF($B$68&lt;&gt;"", "Annual Water/Sewer Savings:", "")</f>
        <v/>
      </c>
      <c r="C70" s="53" t="str">
        <f t="shared" ref="C70:G70" si="27">IFERROR(C69*C$11, "")</f>
        <v/>
      </c>
      <c r="D70" s="53" t="str">
        <f t="shared" si="27"/>
        <v/>
      </c>
      <c r="E70" s="53" t="str">
        <f t="shared" si="27"/>
        <v/>
      </c>
      <c r="F70" s="53" t="str">
        <f t="shared" si="27"/>
        <v/>
      </c>
      <c r="G70" s="53" t="str">
        <f t="shared" si="27"/>
        <v/>
      </c>
      <c r="H70" s="161" t="str">
        <f>IF($B$68&lt;&gt;"", "Run Hours/Day (Hours):", "")</f>
        <v/>
      </c>
      <c r="I70" s="52">
        <f>(PROFILE!M105)</f>
        <v>0</v>
      </c>
      <c r="J70" s="161" t="str">
        <f>IF($B$68&lt;&gt;"", "System Cost:", "")</f>
        <v/>
      </c>
      <c r="K70" s="75"/>
      <c r="L70" s="161" t="str">
        <f>IF($B$68&lt;&gt;"", "Serial No:", "")</f>
        <v/>
      </c>
      <c r="M70" s="180"/>
      <c r="N70" s="64"/>
      <c r="O70" s="64"/>
      <c r="P70" s="64"/>
      <c r="Q70" s="64"/>
      <c r="R70" s="64"/>
    </row>
    <row r="71" spans="1:18" x14ac:dyDescent="0.35">
      <c r="A71" s="21"/>
      <c r="B71" s="61" t="str">
        <f>IF($B$68&lt;&gt;"", "Electric Cost:", "")</f>
        <v/>
      </c>
      <c r="C71" s="53" t="e">
        <f>IF(-((M71*I73)/1000)*I70*I71*I72*C$13=0, "", -((M71*I73)/1000)*I70*I71*I72*C$13)</f>
        <v>#DIV/0!</v>
      </c>
      <c r="D71" s="53" t="str">
        <f>IFERROR(C71+(C71*$C$14), "")</f>
        <v/>
      </c>
      <c r="E71" s="53" t="str">
        <f t="shared" ref="E71:G71" si="28">IFERROR(D71+(D71*$C$14), "")</f>
        <v/>
      </c>
      <c r="F71" s="53" t="str">
        <f t="shared" si="28"/>
        <v/>
      </c>
      <c r="G71" s="53" t="str">
        <f t="shared" si="28"/>
        <v/>
      </c>
      <c r="H71" s="161" t="str">
        <f>IF($B$68&lt;&gt;"", "Run Days/Week (Days):", "")</f>
        <v/>
      </c>
      <c r="I71" s="52">
        <f>PROFILE!M106</f>
        <v>0</v>
      </c>
      <c r="J71" s="165" t="str">
        <f>IF($B$68&lt;&gt;"", "Shipping Cost:", "")</f>
        <v/>
      </c>
      <c r="K71" s="75"/>
      <c r="L71" s="161" t="str">
        <f>IF($B$68&lt;&gt;"", "System Amperage (A):", "")</f>
        <v/>
      </c>
      <c r="M71" s="180"/>
      <c r="N71" s="64"/>
      <c r="O71" s="64"/>
      <c r="P71" s="64"/>
      <c r="Q71" s="64"/>
      <c r="R71" s="64"/>
    </row>
    <row r="72" spans="1:18" x14ac:dyDescent="0.35">
      <c r="A72" s="21"/>
      <c r="B72" s="61" t="str">
        <f>IF($B$68&lt;&gt;"", "O&amp;M (Parts) Cost:", "")</f>
        <v/>
      </c>
      <c r="C72" s="53" t="str">
        <f>IF(K74="", "", -K74)</f>
        <v/>
      </c>
      <c r="D72" s="53" t="str">
        <f>IFERROR(C72+(C72*$M73), "")</f>
        <v/>
      </c>
      <c r="E72" s="53" t="str">
        <f>IFERROR(D72+(D72*$M73), "")</f>
        <v/>
      </c>
      <c r="F72" s="53" t="str">
        <f>IFERROR(E72+(E72*$M73), "")</f>
        <v/>
      </c>
      <c r="G72" s="53" t="str">
        <f>IFERROR(F72+(F72*$M73), "")</f>
        <v/>
      </c>
      <c r="H72" s="161" t="str">
        <f>IF($B$68&lt;&gt;"", "Run Weeks/Year (Weeks):", "")</f>
        <v/>
      </c>
      <c r="I72" s="52">
        <f>(PROFILE!M107)</f>
        <v>0</v>
      </c>
      <c r="J72" s="161" t="str">
        <f>IF($B$68&lt;&gt;"", "Integration Service Cost:", "")</f>
        <v/>
      </c>
      <c r="K72" s="75"/>
      <c r="L72" s="161" t="str">
        <f>IF($B$68&lt;&gt;"", "Water Recapture Rate:", "")</f>
        <v/>
      </c>
      <c r="M72" s="181"/>
      <c r="N72" s="64"/>
      <c r="O72" s="64"/>
      <c r="P72" s="64"/>
      <c r="Q72" s="64"/>
      <c r="R72" s="64"/>
    </row>
    <row r="73" spans="1:18" x14ac:dyDescent="0.35">
      <c r="A73" s="21"/>
      <c r="B73" s="61"/>
      <c r="C73" s="48"/>
      <c r="D73" s="48"/>
      <c r="E73" s="48"/>
      <c r="F73" s="48"/>
      <c r="G73" s="48"/>
      <c r="H73" s="161" t="str">
        <f>IF($B$68&lt;&gt;"", "Electrical Supply (V):", "")</f>
        <v/>
      </c>
      <c r="I73" s="60">
        <f>(PROFILE!M114)</f>
        <v>0</v>
      </c>
      <c r="J73" s="166" t="str">
        <f>IF($B$68&lt;&gt;"", "Installation Cost:", "")</f>
        <v/>
      </c>
      <c r="K73" s="75"/>
      <c r="L73" s="161" t="str">
        <f>IF($B$68&lt;&gt;"", "Annual Esc. Rate (Parts):", "")</f>
        <v/>
      </c>
      <c r="M73" s="181"/>
    </row>
    <row r="74" spans="1:18" ht="13.15" x14ac:dyDescent="0.4">
      <c r="A74" s="21"/>
      <c r="B74" s="21"/>
      <c r="C74" s="61"/>
      <c r="D74" s="48"/>
      <c r="E74" s="48"/>
      <c r="F74" s="48"/>
      <c r="G74" s="48"/>
      <c r="H74" s="21"/>
      <c r="I74" s="21"/>
      <c r="J74" s="161" t="str">
        <f>IF($B$68&lt;&gt;"", "Est. Annual O&amp;M Cost (Filters &amp; Bulbs):", "")</f>
        <v/>
      </c>
      <c r="K74" s="75"/>
      <c r="L74" s="161" t="str">
        <f>IF($B$68&lt;&gt;"", "Notes:", "")</f>
        <v/>
      </c>
      <c r="M74" s="96"/>
    </row>
    <row r="75" spans="1:18" x14ac:dyDescent="0.35">
      <c r="A75" s="2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134"/>
    </row>
    <row r="76" spans="1:18" x14ac:dyDescent="0.3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80"/>
    </row>
    <row r="77" spans="1:18" x14ac:dyDescent="0.3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8" x14ac:dyDescent="0.3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8" x14ac:dyDescent="0.3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8" x14ac:dyDescent="0.3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2:13" x14ac:dyDescent="0.3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2:13" x14ac:dyDescent="0.3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2:13" x14ac:dyDescent="0.3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2:13" x14ac:dyDescent="0.3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2:13" x14ac:dyDescent="0.3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2:13" x14ac:dyDescent="0.3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2:13" x14ac:dyDescent="0.3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2:13" x14ac:dyDescent="0.3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2:13" x14ac:dyDescent="0.3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2:13" x14ac:dyDescent="0.3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2:13" x14ac:dyDescent="0.3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2:13" x14ac:dyDescent="0.3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2:13" x14ac:dyDescent="0.3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2:13" x14ac:dyDescent="0.3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2:13" x14ac:dyDescent="0.35">
      <c r="B95" s="44"/>
      <c r="C95" s="44"/>
      <c r="D95" s="44"/>
      <c r="E95" s="44"/>
      <c r="F95" s="44"/>
      <c r="G95" s="44"/>
      <c r="H95" s="44"/>
      <c r="I95" s="44"/>
    </row>
    <row r="96" spans="2:13" x14ac:dyDescent="0.35">
      <c r="B96" s="44"/>
      <c r="C96" s="44"/>
      <c r="D96" s="44"/>
      <c r="E96" s="44"/>
      <c r="F96" s="44"/>
      <c r="G96" s="44"/>
    </row>
    <row r="97" spans="2:7" x14ac:dyDescent="0.35">
      <c r="B97" s="44"/>
      <c r="C97" s="44"/>
      <c r="D97" s="44"/>
      <c r="E97" s="44"/>
      <c r="F97" s="44"/>
      <c r="G97" s="44"/>
    </row>
    <row r="98" spans="2:7" x14ac:dyDescent="0.35">
      <c r="B98" s="44"/>
      <c r="C98" s="44"/>
      <c r="D98" s="44"/>
      <c r="E98" s="44"/>
      <c r="F98" s="44"/>
      <c r="G98" s="44"/>
    </row>
    <row r="99" spans="2:7" x14ac:dyDescent="0.35">
      <c r="B99" s="44"/>
      <c r="C99" s="44"/>
      <c r="D99" s="44"/>
      <c r="E99" s="44"/>
      <c r="F99" s="44"/>
      <c r="G99" s="44"/>
    </row>
    <row r="100" spans="2:7" x14ac:dyDescent="0.35">
      <c r="B100" s="44"/>
      <c r="C100" s="44"/>
      <c r="D100" s="44"/>
      <c r="E100" s="44"/>
      <c r="F100" s="44"/>
      <c r="G100" s="44"/>
    </row>
    <row r="101" spans="2:7" x14ac:dyDescent="0.35">
      <c r="B101" s="44"/>
      <c r="C101" s="44"/>
      <c r="D101" s="44"/>
      <c r="E101" s="44"/>
      <c r="F101" s="44"/>
      <c r="G101" s="44"/>
    </row>
    <row r="102" spans="2:7" x14ac:dyDescent="0.35">
      <c r="B102" s="44"/>
      <c r="C102" s="44"/>
      <c r="D102" s="44"/>
      <c r="E102" s="44"/>
      <c r="F102" s="44"/>
      <c r="G102" s="44"/>
    </row>
    <row r="103" spans="2:7" x14ac:dyDescent="0.35">
      <c r="B103" s="44"/>
      <c r="C103" s="44"/>
      <c r="D103" s="44"/>
      <c r="E103" s="44"/>
      <c r="F103" s="44"/>
      <c r="G103" s="44"/>
    </row>
    <row r="104" spans="2:7" x14ac:dyDescent="0.35">
      <c r="B104" s="44"/>
      <c r="C104" s="44"/>
      <c r="D104" s="44"/>
      <c r="E104" s="44"/>
      <c r="F104" s="44"/>
      <c r="G104" s="44"/>
    </row>
    <row r="105" spans="2:7" x14ac:dyDescent="0.35">
      <c r="B105" s="44"/>
      <c r="C105" s="44"/>
      <c r="D105" s="44"/>
      <c r="E105" s="44"/>
      <c r="F105" s="44"/>
      <c r="G105" s="44"/>
    </row>
    <row r="106" spans="2:7" x14ac:dyDescent="0.35">
      <c r="B106" s="44"/>
      <c r="C106" s="44"/>
      <c r="D106" s="44"/>
      <c r="E106" s="44"/>
      <c r="F106" s="44"/>
      <c r="G106" s="44"/>
    </row>
    <row r="107" spans="2:7" x14ac:dyDescent="0.35">
      <c r="B107" s="44"/>
      <c r="C107" s="44"/>
      <c r="D107" s="44"/>
      <c r="E107" s="44"/>
      <c r="F107" s="44"/>
      <c r="G107" s="44"/>
    </row>
  </sheetData>
  <sheetProtection algorithmName="SHA-512" hashValue="fGxg4wSFy5Zyqu7tbIUyQikmurwNo0Kt2l7InQ2+Rp19gvKymWKAUSF2NzQN16tJaqeEDZnX4jCsNOtr52i3uA==" saltValue="NYudgAf8s1htvoI5G3t5Xg==" spinCount="100000" sheet="1" objects="1" scenarios="1"/>
  <protectedRanges>
    <protectedRange sqref="M29:M35 M37:M43 M45:M51 M53:M59 M61:M67 M69:M75" name="Range3"/>
    <protectedRange sqref="K30:K34 K38:K42 K46:K50 K54:K58 K62:K66 K70:K74" name="Range2"/>
    <protectedRange sqref="C12 C14" name="Range1"/>
  </protectedRanges>
  <mergeCells count="1">
    <mergeCell ref="A1:M1"/>
  </mergeCells>
  <phoneticPr fontId="20" type="noConversion"/>
  <conditionalFormatting sqref="B36:M36">
    <cfRule type="expression" dxfId="4" priority="5">
      <formula>$B$36&lt;&gt;""</formula>
    </cfRule>
  </conditionalFormatting>
  <conditionalFormatting sqref="B44:M44">
    <cfRule type="expression" dxfId="3" priority="4">
      <formula>$B$44&lt;&gt;""</formula>
    </cfRule>
  </conditionalFormatting>
  <conditionalFormatting sqref="B52:M52">
    <cfRule type="expression" dxfId="2" priority="3">
      <formula>$B$52&lt;&gt;""</formula>
    </cfRule>
  </conditionalFormatting>
  <conditionalFormatting sqref="B60:M60">
    <cfRule type="expression" dxfId="1" priority="2">
      <formula>$B$60&lt;&gt;""</formula>
    </cfRule>
  </conditionalFormatting>
  <conditionalFormatting sqref="B68:M68">
    <cfRule type="expression" dxfId="0" priority="1">
      <formula>$B$68&lt;&gt;""</formula>
    </cfRule>
  </conditionalFormatting>
  <pageMargins left="0.7" right="0.7" top="0.75" bottom="0.75" header="0.3" footer="0.3"/>
  <pageSetup scale="6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B94"/>
  <sheetViews>
    <sheetView showGridLines="0" zoomScale="90" zoomScaleNormal="90" workbookViewId="0">
      <selection activeCell="N5" sqref="N5"/>
    </sheetView>
  </sheetViews>
  <sheetFormatPr defaultRowHeight="12.75" x14ac:dyDescent="0.35"/>
  <cols>
    <col min="1" max="1" width="28.86328125" customWidth="1"/>
    <col min="2" max="2" width="13.1328125" customWidth="1"/>
    <col min="3" max="13" width="13.59765625" customWidth="1"/>
    <col min="14" max="14" width="16.59765625" customWidth="1"/>
    <col min="15" max="15" width="14" customWidth="1"/>
    <col min="16" max="16" width="12.73046875" customWidth="1"/>
  </cols>
  <sheetData>
    <row r="1" spans="1:28" ht="58.5" customHeight="1" x14ac:dyDescent="0.3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28" ht="10.5" customHeight="1" x14ac:dyDescent="0.35">
      <c r="A2" s="61" t="s">
        <v>82</v>
      </c>
      <c r="B2" s="135">
        <f>(PROFILE!C2)</f>
        <v>0</v>
      </c>
      <c r="M2" s="46" t="s">
        <v>179</v>
      </c>
      <c r="N2" s="46" t="s">
        <v>183</v>
      </c>
    </row>
    <row r="3" spans="1:28" ht="10.5" customHeight="1" x14ac:dyDescent="0.35">
      <c r="A3" s="61" t="s">
        <v>83</v>
      </c>
      <c r="B3" s="136">
        <f ca="1">NOW()</f>
        <v>44263.45014872685</v>
      </c>
      <c r="J3" s="47"/>
      <c r="M3" s="46" t="s">
        <v>180</v>
      </c>
      <c r="N3" s="46" t="s">
        <v>182</v>
      </c>
    </row>
    <row r="4" spans="1:28" ht="10.5" customHeight="1" x14ac:dyDescent="0.35">
      <c r="A4" s="61" t="s">
        <v>170</v>
      </c>
      <c r="B4" s="137">
        <f ca="1">NOW()</f>
        <v>44263.45014872685</v>
      </c>
      <c r="J4" s="47"/>
      <c r="M4" s="46" t="s">
        <v>178</v>
      </c>
      <c r="N4" s="81">
        <v>44258</v>
      </c>
    </row>
    <row r="5" spans="1:28" ht="10.5" customHeight="1" x14ac:dyDescent="0.35">
      <c r="A5" s="61" t="s">
        <v>84</v>
      </c>
      <c r="B5" s="137">
        <f>PROFILE!C5</f>
        <v>0</v>
      </c>
      <c r="J5" s="47"/>
      <c r="M5" s="46" t="s">
        <v>84</v>
      </c>
      <c r="N5" s="82" t="s">
        <v>181</v>
      </c>
    </row>
    <row r="6" spans="1:28" ht="10.5" customHeight="1" thickBot="1" x14ac:dyDescent="0.4">
      <c r="A6" s="61" t="s">
        <v>135</v>
      </c>
      <c r="B6" s="57">
        <v>0.13</v>
      </c>
      <c r="J6" s="47"/>
    </row>
    <row r="7" spans="1:28" ht="25.5" customHeight="1" x14ac:dyDescent="0.35">
      <c r="A7" s="98"/>
      <c r="B7" s="99" t="s">
        <v>1</v>
      </c>
      <c r="C7" s="99">
        <v>0</v>
      </c>
      <c r="D7" s="99">
        <v>1</v>
      </c>
      <c r="E7" s="99">
        <v>2</v>
      </c>
      <c r="F7" s="99">
        <v>3</v>
      </c>
      <c r="G7" s="99">
        <v>4</v>
      </c>
      <c r="H7" s="99">
        <v>5</v>
      </c>
      <c r="I7" s="99">
        <v>6</v>
      </c>
      <c r="J7" s="99">
        <v>7</v>
      </c>
      <c r="K7" s="99">
        <v>8</v>
      </c>
      <c r="L7" s="99">
        <v>9</v>
      </c>
      <c r="M7" s="99">
        <v>10</v>
      </c>
      <c r="N7" s="86"/>
      <c r="O7" s="16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"/>
    </row>
    <row r="8" spans="1:28" x14ac:dyDescent="0.35">
      <c r="A8" s="100" t="s">
        <v>2</v>
      </c>
      <c r="B8" s="187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8"/>
      <c r="O8" s="1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"/>
    </row>
    <row r="9" spans="1:28" x14ac:dyDescent="0.35">
      <c r="A9" s="91" t="s">
        <v>4</v>
      </c>
      <c r="B9" s="188">
        <v>1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88"/>
      <c r="O9" s="1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"/>
    </row>
    <row r="10" spans="1:28" x14ac:dyDescent="0.35">
      <c r="A10" s="91" t="s">
        <v>5</v>
      </c>
      <c r="B10" s="7">
        <v>0</v>
      </c>
      <c r="C10" s="6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88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"/>
    </row>
    <row r="11" spans="1:28" x14ac:dyDescent="0.35">
      <c r="A11" s="91" t="s">
        <v>6</v>
      </c>
      <c r="B11" s="7">
        <v>0</v>
      </c>
      <c r="C11" s="6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88"/>
      <c r="O11" s="16"/>
      <c r="P11" s="3"/>
      <c r="Q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</row>
    <row r="12" spans="1:28" x14ac:dyDescent="0.35">
      <c r="A12" s="91" t="s">
        <v>55</v>
      </c>
      <c r="B12" s="7">
        <v>1</v>
      </c>
      <c r="C12" s="6">
        <f>-(DATA!$K$21)</f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88"/>
      <c r="O12" s="1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"/>
    </row>
    <row r="13" spans="1:28" x14ac:dyDescent="0.35">
      <c r="A13" s="91" t="s">
        <v>8</v>
      </c>
      <c r="B13" s="7">
        <v>0</v>
      </c>
      <c r="C13" s="6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88"/>
      <c r="O13" s="1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"/>
    </row>
    <row r="14" spans="1:28" x14ac:dyDescent="0.35">
      <c r="A14" s="91" t="s">
        <v>9</v>
      </c>
      <c r="B14" s="7">
        <v>0</v>
      </c>
      <c r="C14" s="6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88"/>
      <c r="O14" s="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"/>
    </row>
    <row r="15" spans="1:28" x14ac:dyDescent="0.35">
      <c r="A15" s="91" t="s">
        <v>10</v>
      </c>
      <c r="B15" s="7">
        <v>0</v>
      </c>
      <c r="C15" s="6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88"/>
      <c r="O15" s="1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"/>
    </row>
    <row r="16" spans="1:28" ht="13.15" thickBot="1" x14ac:dyDescent="0.4">
      <c r="A16" s="91" t="s">
        <v>11</v>
      </c>
      <c r="B16" s="7">
        <v>0</v>
      </c>
      <c r="C16" s="6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88"/>
      <c r="O16" s="1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"/>
    </row>
    <row r="17" spans="1:28" ht="13.15" thickTop="1" x14ac:dyDescent="0.35">
      <c r="A17" s="102" t="s">
        <v>12</v>
      </c>
      <c r="B17" s="8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>
        <v>0</v>
      </c>
      <c r="K17" s="9">
        <v>0</v>
      </c>
      <c r="L17" s="9">
        <v>0</v>
      </c>
      <c r="M17" s="9">
        <v>0</v>
      </c>
      <c r="N17" s="103"/>
      <c r="O17" s="1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"/>
    </row>
    <row r="18" spans="1:28" x14ac:dyDescent="0.35">
      <c r="A18" s="104" t="s">
        <v>64</v>
      </c>
      <c r="B18" s="105"/>
      <c r="C18" s="101">
        <f>-SUM(DATA!K22:K24)</f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88"/>
      <c r="O18" s="1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x14ac:dyDescent="0.35">
      <c r="A19" s="106"/>
      <c r="B19" s="10"/>
      <c r="C19" s="11"/>
      <c r="D19" s="5"/>
      <c r="E19" s="5"/>
      <c r="F19" s="5"/>
      <c r="G19" s="5"/>
      <c r="H19" s="5"/>
      <c r="I19" s="5"/>
      <c r="J19" s="5"/>
      <c r="K19" s="5"/>
      <c r="L19" s="5"/>
      <c r="M19" s="5"/>
      <c r="N19" s="88"/>
      <c r="O19" s="1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"/>
    </row>
    <row r="20" spans="1:28" x14ac:dyDescent="0.35">
      <c r="A20" s="87" t="s">
        <v>13</v>
      </c>
      <c r="B20" s="17" t="s">
        <v>3</v>
      </c>
      <c r="C20" s="18">
        <f>SUM(C9:C18)</f>
        <v>0</v>
      </c>
      <c r="D20" s="18">
        <f t="shared" ref="D20:M20" si="0">SUM(D9:D18)</f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88"/>
      <c r="O20" s="1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"/>
    </row>
    <row r="21" spans="1:28" ht="13.15" x14ac:dyDescent="0.4">
      <c r="A21" s="87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3">
        <f>R85</f>
        <v>0</v>
      </c>
      <c r="N21" s="88"/>
      <c r="O21" s="1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"/>
    </row>
    <row r="22" spans="1:28" ht="13.15" thickBot="1" x14ac:dyDescent="0.4">
      <c r="A22" s="87" t="s"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88"/>
      <c r="O22" s="1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"/>
    </row>
    <row r="23" spans="1:28" ht="13.15" thickTop="1" x14ac:dyDescent="0.35">
      <c r="A23" s="10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3"/>
      <c r="O23" s="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"/>
    </row>
    <row r="24" spans="1:28" x14ac:dyDescent="0.35">
      <c r="A24" s="8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88"/>
      <c r="O24" s="1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"/>
    </row>
    <row r="25" spans="1:28" x14ac:dyDescent="0.35">
      <c r="A25" s="108" t="s">
        <v>65</v>
      </c>
      <c r="B25" s="17"/>
      <c r="C25" s="16"/>
      <c r="D25" s="101">
        <f>(DATA!$C$24)</f>
        <v>-1900</v>
      </c>
      <c r="E25" s="101">
        <f>D25+(D25*DATA!$M$23)</f>
        <v>-1919</v>
      </c>
      <c r="F25" s="101">
        <f>E25+(E25*DATA!$M$23)</f>
        <v>-1938.19</v>
      </c>
      <c r="G25" s="101">
        <f>F25+(F25*DATA!$M$23)</f>
        <v>-1957.5719000000001</v>
      </c>
      <c r="H25" s="101">
        <f>G25+(G25*DATA!$M$23)</f>
        <v>-1977.1476190000001</v>
      </c>
      <c r="I25" s="101">
        <f>H25+(H25*DATA!$M$23)</f>
        <v>-1996.91909519</v>
      </c>
      <c r="J25" s="101">
        <f>I25+(I25*DATA!$M$23)</f>
        <v>-2016.8882861418999</v>
      </c>
      <c r="K25" s="101">
        <f>J25+(J25*DATA!$M$23)</f>
        <v>-2037.0571690033189</v>
      </c>
      <c r="L25" s="101">
        <f>K25+(K25*DATA!$M$23)</f>
        <v>-2057.427740693352</v>
      </c>
      <c r="M25" s="101">
        <f>L25+(L25*DATA!$M$23)</f>
        <v>-2078.0020181002856</v>
      </c>
      <c r="N25" s="88"/>
      <c r="O25" s="1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"/>
    </row>
    <row r="26" spans="1:28" x14ac:dyDescent="0.35">
      <c r="A26" s="91" t="s">
        <v>68</v>
      </c>
      <c r="B26" s="109"/>
      <c r="C26" s="16"/>
      <c r="D26" s="101" t="e">
        <f>(DATA!C23)</f>
        <v>#DIV/0!</v>
      </c>
      <c r="E26" s="101" t="e">
        <f>D26+(D26*DATA!$C$14)</f>
        <v>#DIV/0!</v>
      </c>
      <c r="F26" s="101" t="e">
        <f>E26+(E26*DATA!$C$14)</f>
        <v>#DIV/0!</v>
      </c>
      <c r="G26" s="101" t="e">
        <f>F26+(F26*DATA!$C$14)</f>
        <v>#DIV/0!</v>
      </c>
      <c r="H26" s="101" t="e">
        <f>G26+(G26*DATA!$C$14)</f>
        <v>#DIV/0!</v>
      </c>
      <c r="I26" s="101" t="e">
        <f>H26+(H26*DATA!$C$14)</f>
        <v>#DIV/0!</v>
      </c>
      <c r="J26" s="101" t="e">
        <f>I26+(I26*DATA!$C$14)</f>
        <v>#DIV/0!</v>
      </c>
      <c r="K26" s="101" t="e">
        <f>J26+(J26*DATA!$C$14)</f>
        <v>#DIV/0!</v>
      </c>
      <c r="L26" s="101" t="e">
        <f>K26+(K26*DATA!$C$14)</f>
        <v>#DIV/0!</v>
      </c>
      <c r="M26" s="101" t="e">
        <f>L26+(L26*DATA!$C$14)</f>
        <v>#DIV/0!</v>
      </c>
      <c r="N26" s="88"/>
      <c r="O26" s="1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"/>
    </row>
    <row r="27" spans="1:28" x14ac:dyDescent="0.35">
      <c r="A27" s="91" t="s">
        <v>66</v>
      </c>
      <c r="B27" s="109"/>
      <c r="C27" s="18"/>
      <c r="D27" s="101" t="e">
        <f>DATA!$C$22</f>
        <v>#DIV/0!</v>
      </c>
      <c r="E27" s="101" t="e">
        <f>D27+(D27*DATA!$C$12)</f>
        <v>#DIV/0!</v>
      </c>
      <c r="F27" s="101" t="e">
        <f>E27+(E27*DATA!$C$12)</f>
        <v>#DIV/0!</v>
      </c>
      <c r="G27" s="101" t="e">
        <f>F27+(F27*DATA!$C$12)</f>
        <v>#DIV/0!</v>
      </c>
      <c r="H27" s="101" t="e">
        <f>G27+(G27*DATA!$C$12)</f>
        <v>#DIV/0!</v>
      </c>
      <c r="I27" s="101" t="e">
        <f>H27+(H27*DATA!$C$12)</f>
        <v>#DIV/0!</v>
      </c>
      <c r="J27" s="101" t="e">
        <f>I27+(I27*DATA!$C$12)</f>
        <v>#DIV/0!</v>
      </c>
      <c r="K27" s="101" t="e">
        <f>J27+(J27*DATA!$C$12)</f>
        <v>#DIV/0!</v>
      </c>
      <c r="L27" s="101" t="e">
        <f>K27+(K27*DATA!$C$12)</f>
        <v>#DIV/0!</v>
      </c>
      <c r="M27" s="101" t="e">
        <f>L27+(L27*DATA!$C$12)</f>
        <v>#DIV/0!</v>
      </c>
      <c r="N27" s="88"/>
      <c r="O27" s="1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"/>
    </row>
    <row r="28" spans="1:28" ht="13.15" thickBot="1" x14ac:dyDescent="0.4">
      <c r="A28" s="91" t="s">
        <v>3</v>
      </c>
      <c r="B28" s="110"/>
      <c r="C28" s="16"/>
      <c r="D28" s="111" t="s">
        <v>3</v>
      </c>
      <c r="E28" s="101" t="str">
        <f>D28</f>
        <v xml:space="preserve"> </v>
      </c>
      <c r="F28" s="111" t="s">
        <v>3</v>
      </c>
      <c r="G28" s="111" t="s">
        <v>3</v>
      </c>
      <c r="H28" s="111" t="s">
        <v>3</v>
      </c>
      <c r="I28" s="111" t="s">
        <v>3</v>
      </c>
      <c r="J28" s="111" t="s">
        <v>3</v>
      </c>
      <c r="K28" s="111" t="s">
        <v>3</v>
      </c>
      <c r="L28" s="111" t="s">
        <v>17</v>
      </c>
      <c r="M28" s="111" t="s">
        <v>3</v>
      </c>
      <c r="N28" s="88"/>
      <c r="O28" s="1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"/>
    </row>
    <row r="29" spans="1:28" ht="13.15" thickTop="1" x14ac:dyDescent="0.35">
      <c r="A29" s="102" t="s">
        <v>18</v>
      </c>
      <c r="B29" s="12"/>
      <c r="C29" s="2"/>
      <c r="D29" s="9">
        <f>($C20-($C17+$C18))*0.02</f>
        <v>0</v>
      </c>
      <c r="E29" s="9">
        <f t="shared" ref="E29:M29" si="1">($C20-($C17+$C18))*0.02</f>
        <v>0</v>
      </c>
      <c r="F29" s="9">
        <f t="shared" si="1"/>
        <v>0</v>
      </c>
      <c r="G29" s="9">
        <f t="shared" si="1"/>
        <v>0</v>
      </c>
      <c r="H29" s="9">
        <f t="shared" si="1"/>
        <v>0</v>
      </c>
      <c r="I29" s="9">
        <f t="shared" si="1"/>
        <v>0</v>
      </c>
      <c r="J29" s="9">
        <f t="shared" si="1"/>
        <v>0</v>
      </c>
      <c r="K29" s="9">
        <f t="shared" si="1"/>
        <v>0</v>
      </c>
      <c r="L29" s="9">
        <f t="shared" si="1"/>
        <v>0</v>
      </c>
      <c r="M29" s="9">
        <f t="shared" si="1"/>
        <v>0</v>
      </c>
      <c r="N29" s="103"/>
      <c r="O29" s="1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"/>
    </row>
    <row r="30" spans="1:28" x14ac:dyDescent="0.35">
      <c r="A30" s="91" t="s">
        <v>19</v>
      </c>
      <c r="B30" s="110"/>
      <c r="C30" s="16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88" t="s">
        <v>3</v>
      </c>
      <c r="O30" s="16" t="s">
        <v>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"/>
    </row>
    <row r="31" spans="1:28" x14ac:dyDescent="0.35">
      <c r="A31" s="10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 t="s">
        <v>3</v>
      </c>
      <c r="N31" s="88"/>
      <c r="O31" s="1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"/>
    </row>
    <row r="32" spans="1:28" x14ac:dyDescent="0.35">
      <c r="A32" s="87" t="s">
        <v>20</v>
      </c>
      <c r="B32" s="16"/>
      <c r="C32" s="101">
        <f>SUM(C25:C30)</f>
        <v>0</v>
      </c>
      <c r="D32" s="101" t="e">
        <f>SUM(D25:D30)</f>
        <v>#DIV/0!</v>
      </c>
      <c r="E32" s="101" t="e">
        <f t="shared" ref="E32:M32" si="2">SUM(E25:E30)</f>
        <v>#DIV/0!</v>
      </c>
      <c r="F32" s="101" t="e">
        <f t="shared" si="2"/>
        <v>#DIV/0!</v>
      </c>
      <c r="G32" s="101" t="e">
        <f t="shared" si="2"/>
        <v>#DIV/0!</v>
      </c>
      <c r="H32" s="101" t="e">
        <f t="shared" si="2"/>
        <v>#DIV/0!</v>
      </c>
      <c r="I32" s="101" t="e">
        <f t="shared" si="2"/>
        <v>#DIV/0!</v>
      </c>
      <c r="J32" s="101" t="e">
        <f t="shared" si="2"/>
        <v>#DIV/0!</v>
      </c>
      <c r="K32" s="101" t="e">
        <f t="shared" si="2"/>
        <v>#DIV/0!</v>
      </c>
      <c r="L32" s="101" t="e">
        <f t="shared" si="2"/>
        <v>#DIV/0!</v>
      </c>
      <c r="M32" s="101" t="e">
        <f t="shared" si="2"/>
        <v>#DIV/0!</v>
      </c>
      <c r="N32" s="88"/>
      <c r="O32" s="1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"/>
    </row>
    <row r="33" spans="1:28" x14ac:dyDescent="0.35">
      <c r="A33" s="8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88"/>
      <c r="O33" s="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"/>
    </row>
    <row r="34" spans="1:28" x14ac:dyDescent="0.35">
      <c r="A34" s="91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88"/>
      <c r="O34" s="1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"/>
    </row>
    <row r="35" spans="1:28" x14ac:dyDescent="0.35">
      <c r="A35" s="87" t="s">
        <v>21</v>
      </c>
      <c r="B35" s="17"/>
      <c r="C35" s="18"/>
      <c r="D35" s="18">
        <f t="shared" ref="D35:M35" si="3">D62</f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  <c r="N35" s="88"/>
      <c r="O35" s="1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"/>
    </row>
    <row r="36" spans="1:28" x14ac:dyDescent="0.35">
      <c r="A36" s="8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88"/>
      <c r="O36" s="1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"/>
    </row>
    <row r="37" spans="1:28" x14ac:dyDescent="0.35">
      <c r="A37" s="91" t="s">
        <v>3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88"/>
      <c r="O37" s="1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"/>
    </row>
    <row r="38" spans="1:28" x14ac:dyDescent="0.35">
      <c r="A38" s="106" t="s">
        <v>22</v>
      </c>
      <c r="B38" s="10"/>
      <c r="C38" s="11">
        <f>C32+C35</f>
        <v>0</v>
      </c>
      <c r="D38" s="11" t="e">
        <f>D32+D35</f>
        <v>#DIV/0!</v>
      </c>
      <c r="E38" s="11" t="e">
        <f t="shared" ref="E38:M38" si="4">E32+E35</f>
        <v>#DIV/0!</v>
      </c>
      <c r="F38" s="11" t="e">
        <f t="shared" si="4"/>
        <v>#DIV/0!</v>
      </c>
      <c r="G38" s="11" t="e">
        <f t="shared" si="4"/>
        <v>#DIV/0!</v>
      </c>
      <c r="H38" s="11" t="e">
        <f t="shared" si="4"/>
        <v>#DIV/0!</v>
      </c>
      <c r="I38" s="11" t="e">
        <f t="shared" si="4"/>
        <v>#DIV/0!</v>
      </c>
      <c r="J38" s="11" t="e">
        <f t="shared" si="4"/>
        <v>#DIV/0!</v>
      </c>
      <c r="K38" s="11" t="e">
        <f t="shared" si="4"/>
        <v>#DIV/0!</v>
      </c>
      <c r="L38" s="11" t="e">
        <f t="shared" si="4"/>
        <v>#DIV/0!</v>
      </c>
      <c r="M38" s="11" t="e">
        <f t="shared" si="4"/>
        <v>#DIV/0!</v>
      </c>
      <c r="N38" s="88"/>
      <c r="O38" s="1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"/>
    </row>
    <row r="39" spans="1:28" x14ac:dyDescent="0.35">
      <c r="A39" s="91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88"/>
      <c r="O39" s="1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"/>
    </row>
    <row r="40" spans="1:28" x14ac:dyDescent="0.35">
      <c r="A40" s="87" t="s">
        <v>23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88"/>
      <c r="O40" s="1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"/>
    </row>
    <row r="41" spans="1:28" ht="13.15" thickBot="1" x14ac:dyDescent="0.4">
      <c r="A41" s="91" t="s">
        <v>24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>
        <f>-N66*B42</f>
        <v>0</v>
      </c>
      <c r="N41" s="88"/>
      <c r="O41" s="1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"/>
    </row>
    <row r="42" spans="1:28" ht="13.5" thickBot="1" x14ac:dyDescent="0.45">
      <c r="A42" s="91" t="s">
        <v>25</v>
      </c>
      <c r="B42" s="70">
        <f>INDEX($C$75:$C$78,$A$68,1)</f>
        <v>0.2</v>
      </c>
      <c r="C42" s="18">
        <f>C38*-$B$42</f>
        <v>0</v>
      </c>
      <c r="D42" s="18" t="e">
        <f>D38*-$B$42</f>
        <v>#DIV/0!</v>
      </c>
      <c r="E42" s="18" t="e">
        <f t="shared" ref="E42:M42" si="5">E38*-$B$42</f>
        <v>#DIV/0!</v>
      </c>
      <c r="F42" s="18" t="e">
        <f t="shared" si="5"/>
        <v>#DIV/0!</v>
      </c>
      <c r="G42" s="18" t="e">
        <f t="shared" si="5"/>
        <v>#DIV/0!</v>
      </c>
      <c r="H42" s="18" t="e">
        <f t="shared" si="5"/>
        <v>#DIV/0!</v>
      </c>
      <c r="I42" s="18" t="e">
        <f t="shared" si="5"/>
        <v>#DIV/0!</v>
      </c>
      <c r="J42" s="18" t="e">
        <f t="shared" si="5"/>
        <v>#DIV/0!</v>
      </c>
      <c r="K42" s="18" t="e">
        <f t="shared" si="5"/>
        <v>#DIV/0!</v>
      </c>
      <c r="L42" s="18" t="e">
        <f t="shared" si="5"/>
        <v>#DIV/0!</v>
      </c>
      <c r="M42" s="18" t="e">
        <f t="shared" si="5"/>
        <v>#DIV/0!</v>
      </c>
      <c r="N42" s="88"/>
      <c r="O42" s="1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"/>
    </row>
    <row r="43" spans="1:28" x14ac:dyDescent="0.35">
      <c r="A43" s="106" t="s">
        <v>26</v>
      </c>
      <c r="B43" s="1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88"/>
      <c r="O43" s="1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"/>
    </row>
    <row r="44" spans="1:28" x14ac:dyDescent="0.35">
      <c r="A44" s="91" t="s">
        <v>27</v>
      </c>
      <c r="B44" s="17"/>
      <c r="C44" s="18">
        <f>SUM(C38:C42)</f>
        <v>0</v>
      </c>
      <c r="D44" s="18" t="e">
        <f t="shared" ref="D44:M44" si="6">SUM(D38:D42)</f>
        <v>#DIV/0!</v>
      </c>
      <c r="E44" s="18" t="e">
        <f t="shared" si="6"/>
        <v>#DIV/0!</v>
      </c>
      <c r="F44" s="18" t="e">
        <f t="shared" si="6"/>
        <v>#DIV/0!</v>
      </c>
      <c r="G44" s="18" t="e">
        <f t="shared" si="6"/>
        <v>#DIV/0!</v>
      </c>
      <c r="H44" s="18" t="e">
        <f t="shared" si="6"/>
        <v>#DIV/0!</v>
      </c>
      <c r="I44" s="18" t="e">
        <f t="shared" si="6"/>
        <v>#DIV/0!</v>
      </c>
      <c r="J44" s="18" t="e">
        <f t="shared" si="6"/>
        <v>#DIV/0!</v>
      </c>
      <c r="K44" s="18" t="e">
        <f t="shared" si="6"/>
        <v>#DIV/0!</v>
      </c>
      <c r="L44" s="18" t="e">
        <f t="shared" si="6"/>
        <v>#DIV/0!</v>
      </c>
      <c r="M44" s="18" t="e">
        <f t="shared" si="6"/>
        <v>#DIV/0!</v>
      </c>
      <c r="N44" s="88"/>
      <c r="O44" s="1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"/>
    </row>
    <row r="45" spans="1:28" x14ac:dyDescent="0.35">
      <c r="A45" s="91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88"/>
      <c r="O45" s="1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"/>
    </row>
    <row r="46" spans="1:28" x14ac:dyDescent="0.35">
      <c r="A46" s="91" t="s">
        <v>28</v>
      </c>
      <c r="B46" s="17"/>
      <c r="C46" s="18"/>
      <c r="D46" s="18">
        <f t="shared" ref="D46:M46" si="7">-D62</f>
        <v>0</v>
      </c>
      <c r="E46" s="18">
        <f t="shared" si="7"/>
        <v>0</v>
      </c>
      <c r="F46" s="18">
        <f t="shared" si="7"/>
        <v>0</v>
      </c>
      <c r="G46" s="18">
        <f t="shared" si="7"/>
        <v>0</v>
      </c>
      <c r="H46" s="18">
        <f t="shared" si="7"/>
        <v>0</v>
      </c>
      <c r="I46" s="18">
        <f t="shared" si="7"/>
        <v>0</v>
      </c>
      <c r="J46" s="18">
        <f t="shared" si="7"/>
        <v>0</v>
      </c>
      <c r="K46" s="18">
        <f t="shared" si="7"/>
        <v>0</v>
      </c>
      <c r="L46" s="18">
        <f t="shared" si="7"/>
        <v>0</v>
      </c>
      <c r="M46" s="18">
        <f t="shared" si="7"/>
        <v>0</v>
      </c>
      <c r="N46" s="88"/>
      <c r="O46" s="1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"/>
    </row>
    <row r="47" spans="1:28" x14ac:dyDescent="0.35">
      <c r="A47" s="106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88"/>
      <c r="O47" s="1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"/>
    </row>
    <row r="48" spans="1:28" ht="13.15" thickBot="1" x14ac:dyDescent="0.4">
      <c r="A48" s="87" t="s">
        <v>29</v>
      </c>
      <c r="B48" s="17"/>
      <c r="C48" s="18">
        <f>C44+C20</f>
        <v>0</v>
      </c>
      <c r="D48" s="18" t="e">
        <f t="shared" ref="D48:L48" si="8">D44+D46+D20</f>
        <v>#DIV/0!</v>
      </c>
      <c r="E48" s="18" t="e">
        <f t="shared" si="8"/>
        <v>#DIV/0!</v>
      </c>
      <c r="F48" s="18" t="e">
        <f t="shared" si="8"/>
        <v>#DIV/0!</v>
      </c>
      <c r="G48" s="18" t="e">
        <f t="shared" si="8"/>
        <v>#DIV/0!</v>
      </c>
      <c r="H48" s="18" t="e">
        <f t="shared" si="8"/>
        <v>#DIV/0!</v>
      </c>
      <c r="I48" s="18" t="e">
        <f t="shared" si="8"/>
        <v>#DIV/0!</v>
      </c>
      <c r="J48" s="18" t="e">
        <f t="shared" si="8"/>
        <v>#DIV/0!</v>
      </c>
      <c r="K48" s="18" t="e">
        <f t="shared" si="8"/>
        <v>#DIV/0!</v>
      </c>
      <c r="L48" s="18" t="e">
        <f t="shared" si="8"/>
        <v>#DIV/0!</v>
      </c>
      <c r="M48" s="18" t="e">
        <f>M44+M46+M20+M21</f>
        <v>#DIV/0!</v>
      </c>
      <c r="N48" s="88"/>
      <c r="O48" s="1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"/>
    </row>
    <row r="49" spans="1:28" ht="13.5" thickTop="1" thickBot="1" x14ac:dyDescent="0.4">
      <c r="A49" s="102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03"/>
      <c r="O49" s="1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"/>
    </row>
    <row r="50" spans="1:28" ht="13.15" x14ac:dyDescent="0.4">
      <c r="A50" s="34" t="s">
        <v>30</v>
      </c>
      <c r="B50" s="35"/>
      <c r="C50" s="36" t="str">
        <f>IF(C48=0,"n/a",IF(ISERR(IRR(C48:M48,7)),IF(ISERR(IRR(C48:M48,1)),IF(ISERR(IRR(C48:M48,0.3)),"n/a",IF(IRR(C48:M48,0.3)&lt;=0,"n/a",IRR(C48:M48,0.3))),IF(IRR(C48:M48,1)&lt;=0,"n/a",IRR(C48:M48,1))),IRR(C48:M48,7)))</f>
        <v>n/a</v>
      </c>
      <c r="D50" s="177"/>
      <c r="E50" s="18"/>
      <c r="F50" s="18"/>
      <c r="G50" s="18"/>
      <c r="H50" s="18"/>
      <c r="I50" s="18"/>
      <c r="J50" s="18"/>
      <c r="K50" s="18"/>
      <c r="L50" s="18"/>
      <c r="M50" s="18"/>
      <c r="N50" s="88"/>
      <c r="O50" s="1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"/>
    </row>
    <row r="51" spans="1:28" ht="13.15" x14ac:dyDescent="0.4">
      <c r="A51" s="37" t="s">
        <v>69</v>
      </c>
      <c r="B51" s="71">
        <f>IRR!B6</f>
        <v>0.13</v>
      </c>
      <c r="C51" s="38" t="e">
        <f>NPV(B51,C48:M48)</f>
        <v>#DIV/0!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88"/>
      <c r="O51" s="1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"/>
    </row>
    <row r="52" spans="1:28" ht="13.5" thickBot="1" x14ac:dyDescent="0.45">
      <c r="A52" s="39" t="s">
        <v>58</v>
      </c>
      <c r="B52" s="40"/>
      <c r="C52" s="41" t="e">
        <f>IF(MAX(payback)&lt;=0,"n/a",MAX(payback))</f>
        <v>#DIV/0!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88"/>
      <c r="O52" s="1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"/>
    </row>
    <row r="53" spans="1:28" ht="13.15" thickBot="1" x14ac:dyDescent="0.4">
      <c r="A53" s="91"/>
      <c r="B53" s="17"/>
      <c r="C53" s="112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88"/>
      <c r="O53" s="1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"/>
    </row>
    <row r="54" spans="1:28" ht="13.15" thickTop="1" x14ac:dyDescent="0.35">
      <c r="A54" s="102"/>
      <c r="B54" s="13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03"/>
      <c r="O54" s="1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"/>
    </row>
    <row r="55" spans="1:28" ht="15" x14ac:dyDescent="0.4">
      <c r="A55" s="91" t="s">
        <v>31</v>
      </c>
      <c r="B55" s="17"/>
      <c r="C55" s="113"/>
      <c r="D55" s="18"/>
      <c r="E55" s="18"/>
      <c r="F55" s="18"/>
      <c r="G55" s="18"/>
      <c r="H55" s="18"/>
      <c r="I55" s="18"/>
      <c r="J55" s="18"/>
      <c r="K55" s="18"/>
      <c r="L55" s="18"/>
      <c r="M55" s="16"/>
      <c r="N55" s="114" t="s">
        <v>32</v>
      </c>
      <c r="O55" s="1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1"/>
    </row>
    <row r="56" spans="1:28" x14ac:dyDescent="0.35">
      <c r="A56" s="91" t="s">
        <v>33</v>
      </c>
      <c r="B56" s="17"/>
      <c r="C56" s="16" t="s">
        <v>3</v>
      </c>
      <c r="D56" s="18">
        <f>$C$10/39</f>
        <v>0</v>
      </c>
      <c r="E56" s="18">
        <f>$C$10/39+$D$10/39</f>
        <v>0</v>
      </c>
      <c r="F56" s="18">
        <f>$C$10/39+$D$10/39+$E$10/39</f>
        <v>0</v>
      </c>
      <c r="G56" s="18">
        <f>$C$10/39+$D$10/39+$E$10/39+$F$10/39</f>
        <v>0</v>
      </c>
      <c r="H56" s="18">
        <f>$C$10/39+$D$10/39+$E$10/39+$F$10/39+$G$10/39</f>
        <v>0</v>
      </c>
      <c r="I56" s="18">
        <f>$C$10/39+$D$10/39+$E$10/39+$F$10/39+$G$10/39+$H$10/39</f>
        <v>0</v>
      </c>
      <c r="J56" s="18">
        <f>$C$10/39+$D$10/39+$E$10/39+$F$10/39+$G$10/39+$H$10/39+$I$10/39</f>
        <v>0</v>
      </c>
      <c r="K56" s="18">
        <f>$C$10/39+$D$10/39+$E$10/39+$F$10/39+$G$10/39+$H$10/39+$I$10/39+$J$10/39</f>
        <v>0</v>
      </c>
      <c r="L56" s="18">
        <f>$C$10/39+$D$10/39+$E$10/39+$F$10/39+$G$10/39+$H$10/39+$I$10/39+$J$10/39+$K$10/39</f>
        <v>0</v>
      </c>
      <c r="M56" s="18">
        <f>$C$10/39+$D$10/39+$E$10/39+$F$10/39+$G$10/39+$H$10/39+$I$10/39+$J$10/39+$K$10/39+$L$10/39</f>
        <v>0</v>
      </c>
      <c r="N56" s="115">
        <f t="shared" ref="N56:N61" si="9">SUM(D56:M56)</f>
        <v>0</v>
      </c>
      <c r="O56" s="1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1"/>
    </row>
    <row r="57" spans="1:28" x14ac:dyDescent="0.35">
      <c r="A57" s="91" t="s">
        <v>34</v>
      </c>
      <c r="B57" s="17"/>
      <c r="C57" s="16"/>
      <c r="D57" s="18">
        <f>$C$13/39</f>
        <v>0</v>
      </c>
      <c r="E57" s="18">
        <f>$C$13/39+$D$13/39</f>
        <v>0</v>
      </c>
      <c r="F57" s="18">
        <f>$C$13/39+$D$13/39+$E$13/39</f>
        <v>0</v>
      </c>
      <c r="G57" s="18">
        <f>$C$13/39+$D$13/39+$E$13/39+$F$13/39</f>
        <v>0</v>
      </c>
      <c r="H57" s="18">
        <f>$C$13/39+$D$13/39+$E$13/39+$F$13/39+$G$13/39</f>
        <v>0</v>
      </c>
      <c r="I57" s="18">
        <f>$C$13/39+$D$13/39+$E$13/39+$F$13/39+$G$13/39+$H$13/39</f>
        <v>0</v>
      </c>
      <c r="J57" s="18">
        <f>$C$13/39+$D$13/39+$E$13/39+$F$13/39+$G$13/39+$H$13/39+$I$13/39</f>
        <v>0</v>
      </c>
      <c r="K57" s="18">
        <f>$C$13/39+$D$13/39+$E$13/39+$F$13/39+$G$13/39+$H$13/39+$I$13/39+$J$13/39</f>
        <v>0</v>
      </c>
      <c r="L57" s="18">
        <f>$C$13/39+$D$13/39+$E$13/39+$F$13/39+$G$13/39+$H$13/39+$I$13/39+$J$13/39+$K$13/39</f>
        <v>0</v>
      </c>
      <c r="M57" s="18">
        <f>$C$13/39+$D$13/39+$E$13/39+$F$13/39+$G$13/39+$H$13/39+$I$13/39+$J$13/39+$K$13/39+$L$13/39</f>
        <v>0</v>
      </c>
      <c r="N57" s="115">
        <f t="shared" si="9"/>
        <v>0</v>
      </c>
      <c r="O57" s="1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"/>
    </row>
    <row r="58" spans="1:28" x14ac:dyDescent="0.35">
      <c r="A58" s="91" t="s">
        <v>35</v>
      </c>
      <c r="B58" s="17"/>
      <c r="C58" s="16" t="s">
        <v>3</v>
      </c>
      <c r="D58" s="18">
        <f>(+$C11+$C12)*H71</f>
        <v>0</v>
      </c>
      <c r="E58" s="18">
        <f>(($C11+$C12)*I71)+($D11+$D12)*H71</f>
        <v>0</v>
      </c>
      <c r="F58" s="18">
        <f>(($C11+$C12)*J71)+($D11+$D12)*I71+($E11+$E12)*H71</f>
        <v>0</v>
      </c>
      <c r="G58" s="18">
        <f>(($C11+$C12)*K71)+($D11+$D12)*J71+($E11+$E12)*I71+($F11+$F12)*H71</f>
        <v>0</v>
      </c>
      <c r="H58" s="18">
        <f>(($C11+$C12)*L71)+($D11+$D12)*K71+($E11+$E12)*J71+($F11+$F12)*I71+($G11+$G12)*H71</f>
        <v>0</v>
      </c>
      <c r="I58" s="18">
        <f>(($C11+$C12)*M71)+($D11+$D12)*L71+($E11+$E12)*K71+($F11+$F12)*J71+($G11+$G12)*I71+($H11+$H12)*H71</f>
        <v>0</v>
      </c>
      <c r="J58" s="18">
        <f>(($C11+$C12)*N71)+($D11+$D12)*M71+($E11+$E12)*L71+($F11+$F12)*K71+($G11+$G12)*J71+($H11+$H12)*I71+($I11+$I12)*H71</f>
        <v>0</v>
      </c>
      <c r="K58" s="18">
        <f>(($C11+$C12)*O71)+($D11+$D12)*N71+($E11+$E12)*M71+($F11+$F12)*L71+($G11+$G12)*K71+($H11+$H12)*J71+($I11+$I12)*I71+($J11+$J12)*H71</f>
        <v>0</v>
      </c>
      <c r="L58" s="18">
        <f>($D11+$D12)*O71+($E11+$E12)*N71+($F11+$F12)*M71+($G11+$G12)*L71+($H11+$H12)*K71+($I11+$I12)*J71+($J11+$J12)*I71+($K11+$K12)*H71</f>
        <v>0</v>
      </c>
      <c r="M58" s="18">
        <f>($E11+$E12)*O71+($F11+$F12)*N71+($G11+$G12)*M71+($H11+$H12)*L71+($I11+$I12)*K71+($J11+$J12)*J71+($K11+$K12)*I71+($L11+$L12)*H71</f>
        <v>0</v>
      </c>
      <c r="N58" s="115">
        <f t="shared" si="9"/>
        <v>0</v>
      </c>
      <c r="O58" s="1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"/>
    </row>
    <row r="59" spans="1:28" x14ac:dyDescent="0.35">
      <c r="A59" s="91" t="s">
        <v>59</v>
      </c>
      <c r="B59" s="17"/>
      <c r="C59" s="16"/>
      <c r="D59" s="18">
        <f>$C$15*H76</f>
        <v>0</v>
      </c>
      <c r="E59" s="18">
        <f>$C$15*I76+$D$15*H76</f>
        <v>0</v>
      </c>
      <c r="F59" s="18">
        <f>$C$15*J76+$D$15*I76+$E$15*H76</f>
        <v>0</v>
      </c>
      <c r="G59" s="18">
        <f>$C$15*K76+$D$15*J76+$E$15*I76+$F$15*H76</f>
        <v>0</v>
      </c>
      <c r="H59" s="18">
        <f>$C$15*L76+$D$15*K76+$E$15*J76+$F$15*I76+$G$15*H76</f>
        <v>0</v>
      </c>
      <c r="I59" s="18">
        <f>$C$15*M76+$D$15*L76+$E$15*K76+$F$15*J76+$G$15*I76+$H$15*H76</f>
        <v>0</v>
      </c>
      <c r="J59" s="18">
        <f>$D$15*M76+$E$15*L76+$F$15*K76+$G$15*J76+$H$15*I76+$I$15*H76</f>
        <v>0</v>
      </c>
      <c r="K59" s="18">
        <f>$E$15*M76+$F$15*L76+$G$15*K76+$H$15*J76+$I$15*I76+$J$15*H76</f>
        <v>0</v>
      </c>
      <c r="L59" s="18">
        <f>$F$15*M76+$G$15*L76+$H$15*K76+$I$15*J76+$J$15*I76+$K$15*H76</f>
        <v>0</v>
      </c>
      <c r="M59" s="18">
        <f>$G$15*M76+$H$15*L76+$I$15*K76+$J$15*J76+$K$15*I76+$L$15*H76</f>
        <v>0</v>
      </c>
      <c r="N59" s="115">
        <f t="shared" si="9"/>
        <v>0</v>
      </c>
      <c r="O59" s="1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"/>
    </row>
    <row r="60" spans="1:28" x14ac:dyDescent="0.35">
      <c r="A60" s="91" t="s">
        <v>36</v>
      </c>
      <c r="B60" s="17"/>
      <c r="C60" s="16"/>
      <c r="D60" s="18">
        <f>$C$16/3</f>
        <v>0</v>
      </c>
      <c r="E60" s="18">
        <f>$C$16/3+$D$16/3</f>
        <v>0</v>
      </c>
      <c r="F60" s="18">
        <f>$C$16/3+$D$16/3+$E$16/3</f>
        <v>0</v>
      </c>
      <c r="G60" s="18">
        <f>$D$16/3+$E$16/3+$F$16/3</f>
        <v>0</v>
      </c>
      <c r="H60" s="18">
        <f>$E$16/3+$F$16/3+$G$16/3</f>
        <v>0</v>
      </c>
      <c r="I60" s="18">
        <f>$F$16/3+$G$16/3+$H$16/3</f>
        <v>0</v>
      </c>
      <c r="J60" s="18">
        <f>$G$16/3+$H$16/3+$I$16/3</f>
        <v>0</v>
      </c>
      <c r="K60" s="18">
        <f>$H$16/3+$I$16/3+$J$16/3</f>
        <v>0</v>
      </c>
      <c r="L60" s="18">
        <f>$I$16/3+$J$16/3+$K$16/3</f>
        <v>0</v>
      </c>
      <c r="M60" s="18">
        <f>$J$16/3+$K$16/3+$L$16/3</f>
        <v>0</v>
      </c>
      <c r="N60" s="115">
        <f t="shared" si="9"/>
        <v>0</v>
      </c>
      <c r="O60" s="1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"/>
    </row>
    <row r="61" spans="1:28" x14ac:dyDescent="0.35">
      <c r="A61" s="91" t="s">
        <v>37</v>
      </c>
      <c r="B61" s="17"/>
      <c r="C61" s="16"/>
      <c r="D61" s="18">
        <f t="shared" ref="D61:M61" si="10">C18</f>
        <v>0</v>
      </c>
      <c r="E61" s="18">
        <f t="shared" si="10"/>
        <v>0</v>
      </c>
      <c r="F61" s="18">
        <f t="shared" si="10"/>
        <v>0</v>
      </c>
      <c r="G61" s="18">
        <f t="shared" si="10"/>
        <v>0</v>
      </c>
      <c r="H61" s="18">
        <f t="shared" si="10"/>
        <v>0</v>
      </c>
      <c r="I61" s="18">
        <f t="shared" si="10"/>
        <v>0</v>
      </c>
      <c r="J61" s="18">
        <f t="shared" si="10"/>
        <v>0</v>
      </c>
      <c r="K61" s="18">
        <f t="shared" si="10"/>
        <v>0</v>
      </c>
      <c r="L61" s="18">
        <f t="shared" si="10"/>
        <v>0</v>
      </c>
      <c r="M61" s="18">
        <f t="shared" si="10"/>
        <v>0</v>
      </c>
      <c r="N61" s="115">
        <f t="shared" si="9"/>
        <v>0</v>
      </c>
      <c r="O61" s="1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"/>
    </row>
    <row r="62" spans="1:28" x14ac:dyDescent="0.35">
      <c r="A62" s="106" t="s">
        <v>38</v>
      </c>
      <c r="B62" s="10"/>
      <c r="C62" s="5" t="s">
        <v>3</v>
      </c>
      <c r="D62" s="11">
        <f t="shared" ref="D62:N62" si="11">SUM(D56:D61)</f>
        <v>0</v>
      </c>
      <c r="E62" s="11">
        <f t="shared" si="11"/>
        <v>0</v>
      </c>
      <c r="F62" s="11">
        <f t="shared" si="11"/>
        <v>0</v>
      </c>
      <c r="G62" s="11">
        <f t="shared" si="11"/>
        <v>0</v>
      </c>
      <c r="H62" s="11">
        <f t="shared" si="11"/>
        <v>0</v>
      </c>
      <c r="I62" s="11">
        <f t="shared" si="11"/>
        <v>0</v>
      </c>
      <c r="J62" s="11">
        <f t="shared" si="11"/>
        <v>0</v>
      </c>
      <c r="K62" s="11">
        <f t="shared" si="11"/>
        <v>0</v>
      </c>
      <c r="L62" s="11">
        <f t="shared" si="11"/>
        <v>0</v>
      </c>
      <c r="M62" s="11">
        <f t="shared" si="11"/>
        <v>0</v>
      </c>
      <c r="N62" s="115">
        <f t="shared" si="11"/>
        <v>0</v>
      </c>
      <c r="O62" s="1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"/>
    </row>
    <row r="63" spans="1:28" x14ac:dyDescent="0.35">
      <c r="A63" s="91"/>
      <c r="B63" s="17"/>
      <c r="C63" s="16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15"/>
      <c r="O63" s="1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"/>
    </row>
    <row r="64" spans="1:28" x14ac:dyDescent="0.35">
      <c r="A64" s="91"/>
      <c r="B64" s="17"/>
      <c r="C64" s="16"/>
      <c r="D64" s="18"/>
      <c r="E64" s="18"/>
      <c r="F64" s="18"/>
      <c r="G64" s="18"/>
      <c r="H64" s="18"/>
      <c r="I64" s="18"/>
      <c r="J64" s="18"/>
      <c r="K64" s="18"/>
      <c r="L64" s="18"/>
      <c r="M64" s="16" t="s">
        <v>39</v>
      </c>
      <c r="N64" s="115">
        <f>SUM(C20:M20)-N62</f>
        <v>0</v>
      </c>
      <c r="O64" s="1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"/>
    </row>
    <row r="65" spans="1:28" x14ac:dyDescent="0.35">
      <c r="A65" s="91"/>
      <c r="B65" s="17"/>
      <c r="C65" s="16"/>
      <c r="D65" s="18"/>
      <c r="E65" s="18"/>
      <c r="F65" s="18"/>
      <c r="G65" s="18"/>
      <c r="H65" s="18"/>
      <c r="I65" s="18"/>
      <c r="J65" s="18"/>
      <c r="K65" s="18"/>
      <c r="L65" s="18"/>
      <c r="M65" s="16"/>
      <c r="N65" s="115"/>
      <c r="O65" s="1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"/>
    </row>
    <row r="66" spans="1:28" x14ac:dyDescent="0.35">
      <c r="A66" s="91"/>
      <c r="B66" s="17"/>
      <c r="C66" s="16"/>
      <c r="D66" s="18"/>
      <c r="E66" s="18"/>
      <c r="F66" s="18"/>
      <c r="G66" s="18"/>
      <c r="H66" s="18"/>
      <c r="I66" s="18"/>
      <c r="J66" s="18"/>
      <c r="K66" s="18"/>
      <c r="L66" s="18"/>
      <c r="M66" s="16" t="s">
        <v>40</v>
      </c>
      <c r="N66" s="115">
        <f>M21+N64</f>
        <v>0</v>
      </c>
      <c r="O66" s="1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"/>
    </row>
    <row r="67" spans="1:28" ht="13.15" thickBot="1" x14ac:dyDescent="0.4">
      <c r="A67" s="116"/>
      <c r="B67" s="117"/>
      <c r="C67" s="118"/>
      <c r="D67" s="118"/>
      <c r="E67" s="118"/>
      <c r="F67" s="118"/>
      <c r="G67" s="118"/>
      <c r="H67" s="119"/>
      <c r="I67" s="118"/>
      <c r="J67" s="118"/>
      <c r="K67" s="118"/>
      <c r="L67" s="118"/>
      <c r="M67" s="118"/>
      <c r="N67" s="120"/>
      <c r="O67" s="1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1"/>
    </row>
    <row r="68" spans="1:28" ht="15" x14ac:dyDescent="0.4">
      <c r="A68" s="20">
        <v>1</v>
      </c>
      <c r="B68" s="21" t="s">
        <v>61</v>
      </c>
      <c r="C68" s="21"/>
      <c r="D68" s="21"/>
      <c r="E68" s="21"/>
      <c r="F68" s="97"/>
      <c r="G68" s="89" t="s">
        <v>41</v>
      </c>
      <c r="H68" s="16"/>
      <c r="I68" s="16"/>
      <c r="J68" s="16"/>
      <c r="K68" s="16"/>
      <c r="L68" s="16"/>
      <c r="M68" s="16"/>
      <c r="N68" s="16"/>
      <c r="O68" s="85"/>
      <c r="P68" s="85"/>
      <c r="Q68" s="85"/>
      <c r="R68" s="86"/>
      <c r="AB68" s="1"/>
    </row>
    <row r="69" spans="1:28" x14ac:dyDescent="0.35">
      <c r="A69" s="20"/>
      <c r="B69" s="21" t="s">
        <v>3</v>
      </c>
      <c r="C69" s="21"/>
      <c r="D69" s="21"/>
      <c r="E69" s="21"/>
      <c r="F69" s="8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88"/>
      <c r="AB69" s="1"/>
    </row>
    <row r="70" spans="1:28" x14ac:dyDescent="0.35">
      <c r="A70" s="20"/>
      <c r="B70" s="21"/>
      <c r="C70" s="21"/>
      <c r="D70" s="21"/>
      <c r="E70" s="21"/>
      <c r="F70" s="87"/>
      <c r="G70" s="16" t="s">
        <v>42</v>
      </c>
      <c r="H70" s="16" t="s">
        <v>43</v>
      </c>
      <c r="I70" s="16" t="s">
        <v>44</v>
      </c>
      <c r="J70" s="16" t="s">
        <v>45</v>
      </c>
      <c r="K70" s="16" t="s">
        <v>46</v>
      </c>
      <c r="L70" s="16" t="s">
        <v>47</v>
      </c>
      <c r="M70" s="16" t="s">
        <v>48</v>
      </c>
      <c r="N70" s="16" t="s">
        <v>49</v>
      </c>
      <c r="O70" s="16" t="s">
        <v>50</v>
      </c>
      <c r="P70" s="16"/>
      <c r="Q70" s="16"/>
      <c r="R70" s="88"/>
      <c r="AB70" s="1"/>
    </row>
    <row r="71" spans="1:28" ht="13.15" thickBot="1" x14ac:dyDescent="0.4">
      <c r="A71" s="20"/>
      <c r="B71" s="21" t="s">
        <v>3</v>
      </c>
      <c r="C71" s="21"/>
      <c r="D71" s="21"/>
      <c r="E71" s="21" t="s">
        <v>0</v>
      </c>
      <c r="F71" s="87"/>
      <c r="G71" s="16">
        <v>0</v>
      </c>
      <c r="H71" s="16">
        <v>0.1429</v>
      </c>
      <c r="I71" s="16">
        <v>0.24490000000000001</v>
      </c>
      <c r="J71" s="16">
        <v>0.1749</v>
      </c>
      <c r="K71" s="16">
        <v>0.1249</v>
      </c>
      <c r="L71" s="16">
        <v>8.9300000000000004E-2</v>
      </c>
      <c r="M71" s="16">
        <v>8.9200000000000002E-2</v>
      </c>
      <c r="N71" s="16">
        <v>8.9300000000000004E-2</v>
      </c>
      <c r="O71" s="16">
        <v>4.4600000000000001E-2</v>
      </c>
      <c r="P71" s="16"/>
      <c r="Q71" s="16"/>
      <c r="R71" s="88"/>
      <c r="AB71" s="1"/>
    </row>
    <row r="72" spans="1:28" ht="15.75" thickBot="1" x14ac:dyDescent="0.5">
      <c r="A72" s="23" t="s">
        <v>62</v>
      </c>
      <c r="B72" s="24"/>
      <c r="C72" s="19"/>
      <c r="D72" s="24"/>
      <c r="E72" s="83">
        <f>INDEX($C$75:$C$78,$A$68,1)</f>
        <v>0.2</v>
      </c>
      <c r="F72" s="8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88"/>
      <c r="AB72" s="1"/>
    </row>
    <row r="73" spans="1:28" ht="15.75" thickBot="1" x14ac:dyDescent="0.5">
      <c r="A73" s="23"/>
      <c r="B73" s="24"/>
      <c r="C73" s="19"/>
      <c r="D73" s="24"/>
      <c r="E73" s="84"/>
      <c r="F73" s="87"/>
      <c r="G73" s="89" t="s">
        <v>60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88"/>
      <c r="AB73" s="1"/>
    </row>
    <row r="74" spans="1:28" ht="13.15" thickBot="1" x14ac:dyDescent="0.4">
      <c r="A74" s="20"/>
      <c r="B74" s="26" t="s">
        <v>62</v>
      </c>
      <c r="C74" s="27" t="s">
        <v>0</v>
      </c>
      <c r="D74" s="21"/>
      <c r="E74" s="21"/>
      <c r="F74" s="8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88"/>
      <c r="AB74" s="1"/>
    </row>
    <row r="75" spans="1:28" x14ac:dyDescent="0.35">
      <c r="A75" s="20"/>
      <c r="B75" s="28" t="s">
        <v>70</v>
      </c>
      <c r="C75" s="29">
        <v>0.2</v>
      </c>
      <c r="D75" s="21"/>
      <c r="E75" s="21"/>
      <c r="F75" s="87"/>
      <c r="G75" s="16" t="s">
        <v>42</v>
      </c>
      <c r="H75" s="16" t="s">
        <v>43</v>
      </c>
      <c r="I75" s="16" t="s">
        <v>44</v>
      </c>
      <c r="J75" s="16" t="s">
        <v>45</v>
      </c>
      <c r="K75" s="16" t="s">
        <v>46</v>
      </c>
      <c r="L75" s="16" t="s">
        <v>47</v>
      </c>
      <c r="M75" s="16" t="s">
        <v>48</v>
      </c>
      <c r="N75" s="16"/>
      <c r="O75" s="18"/>
      <c r="P75" s="16"/>
      <c r="Q75" s="16"/>
      <c r="R75" s="88"/>
      <c r="AB75" s="1"/>
    </row>
    <row r="76" spans="1:28" x14ac:dyDescent="0.35">
      <c r="A76" s="20"/>
      <c r="B76" s="28" t="s">
        <v>71</v>
      </c>
      <c r="C76" s="29">
        <v>0.2</v>
      </c>
      <c r="D76" s="21"/>
      <c r="E76" s="21"/>
      <c r="F76" s="87"/>
      <c r="G76" s="16">
        <v>0</v>
      </c>
      <c r="H76" s="16">
        <v>0.2</v>
      </c>
      <c r="I76" s="16">
        <v>0.32</v>
      </c>
      <c r="J76" s="16">
        <v>0.192</v>
      </c>
      <c r="K76" s="16">
        <v>0.1152</v>
      </c>
      <c r="L76" s="16">
        <v>0.1152</v>
      </c>
      <c r="M76" s="16">
        <v>5.7599999999999998E-2</v>
      </c>
      <c r="N76" s="16"/>
      <c r="O76" s="18"/>
      <c r="P76" s="16"/>
      <c r="Q76" s="16"/>
      <c r="R76" s="88"/>
      <c r="AB76" s="1"/>
    </row>
    <row r="77" spans="1:28" x14ac:dyDescent="0.35">
      <c r="A77" s="20"/>
      <c r="B77" s="28" t="s">
        <v>72</v>
      </c>
      <c r="C77" s="29">
        <v>0.2</v>
      </c>
      <c r="D77" s="21"/>
      <c r="E77" s="21"/>
      <c r="F77" s="8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88"/>
      <c r="AB77" s="1"/>
    </row>
    <row r="78" spans="1:28" ht="15.4" thickBot="1" x14ac:dyDescent="0.45">
      <c r="A78" s="25"/>
      <c r="B78" s="32" t="s">
        <v>63</v>
      </c>
      <c r="C78" s="33">
        <v>0</v>
      </c>
      <c r="D78" s="30"/>
      <c r="E78" s="30"/>
      <c r="F78" s="87"/>
      <c r="G78" s="90" t="s">
        <v>51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88"/>
      <c r="AB78" s="1"/>
    </row>
    <row r="79" spans="1:28" x14ac:dyDescent="0.35">
      <c r="F79" s="87"/>
      <c r="G79" s="16" t="s">
        <v>42</v>
      </c>
      <c r="H79" s="16" t="s">
        <v>43</v>
      </c>
      <c r="I79" s="16" t="s">
        <v>44</v>
      </c>
      <c r="J79" s="16" t="s">
        <v>45</v>
      </c>
      <c r="K79" s="16" t="s">
        <v>46</v>
      </c>
      <c r="L79" s="16" t="s">
        <v>47</v>
      </c>
      <c r="M79" s="16" t="s">
        <v>48</v>
      </c>
      <c r="N79" s="16" t="s">
        <v>49</v>
      </c>
      <c r="O79" s="16" t="s">
        <v>50</v>
      </c>
      <c r="P79" s="16" t="s">
        <v>52</v>
      </c>
      <c r="Q79" s="16" t="s">
        <v>53</v>
      </c>
      <c r="R79" s="88" t="s">
        <v>54</v>
      </c>
      <c r="AB79" s="1"/>
    </row>
    <row r="80" spans="1:28" x14ac:dyDescent="0.35">
      <c r="F80" s="169" t="s">
        <v>4</v>
      </c>
      <c r="G80" s="92">
        <f>$B9*C9</f>
        <v>0</v>
      </c>
      <c r="H80" s="16">
        <f t="shared" ref="H80:Q81" si="12">$B9*D9</f>
        <v>0</v>
      </c>
      <c r="I80" s="16">
        <f t="shared" si="12"/>
        <v>0</v>
      </c>
      <c r="J80" s="16">
        <f t="shared" si="12"/>
        <v>0</v>
      </c>
      <c r="K80" s="16">
        <f t="shared" si="12"/>
        <v>0</v>
      </c>
      <c r="L80" s="16">
        <f t="shared" si="12"/>
        <v>0</v>
      </c>
      <c r="M80" s="16">
        <f t="shared" si="12"/>
        <v>0</v>
      </c>
      <c r="N80" s="16">
        <f t="shared" si="12"/>
        <v>0</v>
      </c>
      <c r="O80" s="16">
        <f t="shared" si="12"/>
        <v>0</v>
      </c>
      <c r="P80" s="16">
        <f t="shared" si="12"/>
        <v>0</v>
      </c>
      <c r="Q80" s="16">
        <f t="shared" si="12"/>
        <v>0</v>
      </c>
      <c r="R80" s="171">
        <f>SUM(G80:Q80)</f>
        <v>0</v>
      </c>
      <c r="AB80" s="1"/>
    </row>
    <row r="81" spans="6:28" x14ac:dyDescent="0.35">
      <c r="F81" s="169" t="s">
        <v>5</v>
      </c>
      <c r="G81" s="92">
        <f>$B10*C10</f>
        <v>0</v>
      </c>
      <c r="H81" s="16">
        <f t="shared" si="12"/>
        <v>0</v>
      </c>
      <c r="I81" s="16">
        <f t="shared" si="12"/>
        <v>0</v>
      </c>
      <c r="J81" s="16">
        <f t="shared" si="12"/>
        <v>0</v>
      </c>
      <c r="K81" s="16">
        <f t="shared" si="12"/>
        <v>0</v>
      </c>
      <c r="L81" s="16">
        <f t="shared" si="12"/>
        <v>0</v>
      </c>
      <c r="M81" s="16">
        <f t="shared" si="12"/>
        <v>0</v>
      </c>
      <c r="N81" s="16">
        <f t="shared" si="12"/>
        <v>0</v>
      </c>
      <c r="O81" s="16">
        <f t="shared" si="12"/>
        <v>0</v>
      </c>
      <c r="P81" s="16">
        <f t="shared" si="12"/>
        <v>0</v>
      </c>
      <c r="Q81" s="16">
        <f t="shared" si="12"/>
        <v>0</v>
      </c>
      <c r="R81" s="88">
        <f>SUM(G81:Q81)</f>
        <v>0</v>
      </c>
      <c r="AB81" s="1"/>
    </row>
    <row r="82" spans="6:28" x14ac:dyDescent="0.35">
      <c r="F82" s="169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88"/>
    </row>
    <row r="83" spans="6:28" x14ac:dyDescent="0.35">
      <c r="F83" s="169" t="s">
        <v>6</v>
      </c>
      <c r="G83" s="172">
        <f t="shared" ref="G83:Q84" si="13">$B11*C11</f>
        <v>0</v>
      </c>
      <c r="H83" s="16">
        <f t="shared" si="13"/>
        <v>0</v>
      </c>
      <c r="I83" s="16">
        <f t="shared" si="13"/>
        <v>0</v>
      </c>
      <c r="J83" s="16">
        <f t="shared" si="13"/>
        <v>0</v>
      </c>
      <c r="K83" s="16">
        <f t="shared" si="13"/>
        <v>0</v>
      </c>
      <c r="L83" s="16">
        <f t="shared" si="13"/>
        <v>0</v>
      </c>
      <c r="M83" s="16">
        <f t="shared" si="13"/>
        <v>0</v>
      </c>
      <c r="N83" s="16">
        <f t="shared" si="13"/>
        <v>0</v>
      </c>
      <c r="O83" s="16">
        <f t="shared" si="13"/>
        <v>0</v>
      </c>
      <c r="P83" s="16">
        <f t="shared" si="13"/>
        <v>0</v>
      </c>
      <c r="Q83" s="16">
        <f t="shared" si="13"/>
        <v>0</v>
      </c>
      <c r="R83" s="88">
        <f>SUM(G83:Q83)</f>
        <v>0</v>
      </c>
    </row>
    <row r="84" spans="6:28" x14ac:dyDescent="0.35">
      <c r="F84" s="169" t="s">
        <v>7</v>
      </c>
      <c r="G84" s="92">
        <f t="shared" si="13"/>
        <v>0</v>
      </c>
      <c r="H84" s="16">
        <f t="shared" si="13"/>
        <v>0</v>
      </c>
      <c r="I84" s="16">
        <f t="shared" si="13"/>
        <v>0</v>
      </c>
      <c r="J84" s="16">
        <f t="shared" si="13"/>
        <v>0</v>
      </c>
      <c r="K84" s="16">
        <f t="shared" si="13"/>
        <v>0</v>
      </c>
      <c r="L84" s="16">
        <f t="shared" si="13"/>
        <v>0</v>
      </c>
      <c r="M84" s="16">
        <f t="shared" si="13"/>
        <v>0</v>
      </c>
      <c r="N84" s="16">
        <f t="shared" si="13"/>
        <v>0</v>
      </c>
      <c r="O84" s="16">
        <f t="shared" si="13"/>
        <v>0</v>
      </c>
      <c r="P84" s="16">
        <f t="shared" si="13"/>
        <v>0</v>
      </c>
      <c r="Q84" s="16">
        <f t="shared" si="13"/>
        <v>0</v>
      </c>
      <c r="R84" s="88">
        <f>SUM(G84:Q84)</f>
        <v>0</v>
      </c>
    </row>
    <row r="85" spans="6:28" ht="15" x14ac:dyDescent="0.4">
      <c r="F85" s="17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93">
        <f>-SUM(R80:R84)</f>
        <v>0</v>
      </c>
    </row>
    <row r="86" spans="6:28" ht="15" x14ac:dyDescent="0.4">
      <c r="F86" s="87"/>
      <c r="G86" s="89" t="s">
        <v>57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88"/>
    </row>
    <row r="87" spans="6:28" x14ac:dyDescent="0.35"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2"/>
    </row>
    <row r="88" spans="6:28" x14ac:dyDescent="0.35">
      <c r="F88" s="20"/>
      <c r="G88" s="21" t="s">
        <v>56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2"/>
    </row>
    <row r="89" spans="6:28" x14ac:dyDescent="0.35">
      <c r="F89" s="20"/>
      <c r="G89" s="21" t="s">
        <v>42</v>
      </c>
      <c r="H89" s="21" t="s">
        <v>43</v>
      </c>
      <c r="I89" s="21" t="s">
        <v>44</v>
      </c>
      <c r="J89" s="21" t="s">
        <v>45</v>
      </c>
      <c r="K89" s="21" t="s">
        <v>46</v>
      </c>
      <c r="L89" s="21" t="s">
        <v>47</v>
      </c>
      <c r="M89" s="21" t="s">
        <v>48</v>
      </c>
      <c r="N89" s="21" t="s">
        <v>49</v>
      </c>
      <c r="O89" s="21" t="s">
        <v>50</v>
      </c>
      <c r="P89" s="21" t="s">
        <v>52</v>
      </c>
      <c r="Q89" s="21" t="s">
        <v>53</v>
      </c>
      <c r="R89" s="22"/>
    </row>
    <row r="90" spans="6:28" x14ac:dyDescent="0.35">
      <c r="F90" s="20"/>
      <c r="G90" s="94">
        <f t="shared" ref="G90:Q90" si="14">+C48</f>
        <v>0</v>
      </c>
      <c r="H90" s="94" t="e">
        <f t="shared" si="14"/>
        <v>#DIV/0!</v>
      </c>
      <c r="I90" s="94" t="e">
        <f t="shared" si="14"/>
        <v>#DIV/0!</v>
      </c>
      <c r="J90" s="94" t="e">
        <f t="shared" si="14"/>
        <v>#DIV/0!</v>
      </c>
      <c r="K90" s="94" t="e">
        <f t="shared" si="14"/>
        <v>#DIV/0!</v>
      </c>
      <c r="L90" s="94" t="e">
        <f t="shared" si="14"/>
        <v>#DIV/0!</v>
      </c>
      <c r="M90" s="94" t="e">
        <f t="shared" si="14"/>
        <v>#DIV/0!</v>
      </c>
      <c r="N90" s="94" t="e">
        <f t="shared" si="14"/>
        <v>#DIV/0!</v>
      </c>
      <c r="O90" s="94" t="e">
        <f t="shared" si="14"/>
        <v>#DIV/0!</v>
      </c>
      <c r="P90" s="94" t="e">
        <f t="shared" si="14"/>
        <v>#DIV/0!</v>
      </c>
      <c r="Q90" s="94" t="e">
        <f t="shared" si="14"/>
        <v>#DIV/0!</v>
      </c>
      <c r="R90" s="22"/>
    </row>
    <row r="91" spans="6:28" x14ac:dyDescent="0.35"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spans="6:28" x14ac:dyDescent="0.35">
      <c r="F92" s="20"/>
      <c r="G92" s="21"/>
      <c r="H92" s="94" t="e">
        <f>+H90+G90</f>
        <v>#DIV/0!</v>
      </c>
      <c r="I92" s="174" t="e">
        <f>IF(H92&lt;0,SUM($F90:I90),"")</f>
        <v>#DIV/0!</v>
      </c>
      <c r="J92" s="174" t="e">
        <f>IF(I92&lt;0,SUM($F90:J90),"")</f>
        <v>#DIV/0!</v>
      </c>
      <c r="K92" s="174" t="e">
        <f>IF(J92&lt;0,SUM($F90:K90),"")</f>
        <v>#DIV/0!</v>
      </c>
      <c r="L92" s="174" t="e">
        <f>IF(K92&lt;0,SUM($F90:L90),"")</f>
        <v>#DIV/0!</v>
      </c>
      <c r="M92" s="174" t="e">
        <f>IF(L92&lt;0,SUM($F90:M90),"")</f>
        <v>#DIV/0!</v>
      </c>
      <c r="N92" s="174" t="e">
        <f>IF(M92&lt;0,SUM($F90:N90),"")</f>
        <v>#DIV/0!</v>
      </c>
      <c r="O92" s="174" t="e">
        <f>IF(N92&lt;0,SUM($F90:O90),"")</f>
        <v>#DIV/0!</v>
      </c>
      <c r="P92" s="174" t="e">
        <f>IF(O92&lt;0,SUM($F90:P90),"")</f>
        <v>#DIV/0!</v>
      </c>
      <c r="Q92" s="174" t="e">
        <f>IF(P92&lt;0,SUM($F90:Q90),"")</f>
        <v>#DIV/0!</v>
      </c>
      <c r="R92" s="22"/>
    </row>
    <row r="93" spans="6:28" x14ac:dyDescent="0.35"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spans="6:28" ht="13.5" thickBot="1" x14ac:dyDescent="0.45">
      <c r="F94" s="25"/>
      <c r="G94" s="175" t="e">
        <f>IF(H90&gt;-G90,-G90/H90,"")</f>
        <v>#DIV/0!</v>
      </c>
      <c r="H94" s="175" t="str">
        <f>IF(ISERROR(-H92/I90),"",IF(AND(-H92&lt;I90,G94=""),1+(-H92)/I90,""))</f>
        <v/>
      </c>
      <c r="I94" s="175" t="str">
        <f>IF(ISERROR(-I92/J90),"",IF(AND(-I92&lt;J90,H94=""),2+(-I92)/J90,""))</f>
        <v/>
      </c>
      <c r="J94" s="175" t="str">
        <f>IF(ISERROR(-J92/K90),"",IF(AND(-J92&lt;K90,I94=""),3+(-J92)/K90,""))</f>
        <v/>
      </c>
      <c r="K94" s="175" t="str">
        <f>IF(ISERROR(-K92/L90),"",IF(AND(-K92&lt;L90,J94=""),4+(-K92)/L90,""))</f>
        <v/>
      </c>
      <c r="L94" s="175" t="str">
        <f>IF(ISERROR(-L92/M90),"",IF(AND(-L92&lt;M90,K94=""),5+(-L92)/M90,""))</f>
        <v/>
      </c>
      <c r="M94" s="175" t="str">
        <f>IF(ISERROR(-M92/N90),"",IF(AND(-M92&lt;N90,L94=""),6+(-M92)/N90,""))</f>
        <v/>
      </c>
      <c r="N94" s="175" t="str">
        <f>IF(ISERROR(-N92/O90),"",IF(AND(-N92&lt;O90,M94=""),7+(-N92)/O90,""))</f>
        <v/>
      </c>
      <c r="O94" s="175" t="str">
        <f>IF(ISERROR(-O92/P90),"",IF(AND(-O92&lt;P90,N94=""),8+(-O92)/P90,""))</f>
        <v/>
      </c>
      <c r="P94" s="176" t="str">
        <f>IF(ISERROR(-P92/Q90),"",IF(AND(-P92&lt;Q90,O94=""),9+(-P92)/Q90,""))</f>
        <v/>
      </c>
      <c r="Q94" s="175" t="str">
        <f>IF(ISERROR(-Q92/R90),"",IF(AND(-Q92&lt;R90,P94=""),10+(-Q92)/R90,""))</f>
        <v/>
      </c>
      <c r="R94" s="31"/>
    </row>
  </sheetData>
  <mergeCells count="1">
    <mergeCell ref="A1:N1"/>
  </mergeCells>
  <printOptions horizontalCentered="1"/>
  <pageMargins left="0.75" right="0.75" top="0.5" bottom="0.65" header="0.5" footer="0.5"/>
  <pageSetup scale="59" orientation="landscape" r:id="rId1"/>
  <headerFooter alignWithMargins="0">
    <oddFooter>&amp;LForm Revised 01/01/18&amp;C&amp;F&amp;R&amp;D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71</xdr:row>
                    <xdr:rowOff>38100</xdr:rowOff>
                  </from>
                  <to>
                    <xdr:col>3</xdr:col>
                    <xdr:colOff>38100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0</xdr:col>
                    <xdr:colOff>66675</xdr:colOff>
                    <xdr:row>6</xdr:row>
                    <xdr:rowOff>47625</xdr:rowOff>
                  </from>
                  <to>
                    <xdr:col>0</xdr:col>
                    <xdr:colOff>1876425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DC70-D1CF-4012-962C-A6D97155719D}">
  <dimension ref="A1:I105"/>
  <sheetViews>
    <sheetView workbookViewId="0">
      <selection activeCell="A12" sqref="A12"/>
    </sheetView>
  </sheetViews>
  <sheetFormatPr defaultRowHeight="12.75" x14ac:dyDescent="0.35"/>
  <cols>
    <col min="2" max="2" width="14.33203125" customWidth="1"/>
    <col min="7" max="7" width="27.796875" customWidth="1"/>
    <col min="8" max="8" width="10.59765625" customWidth="1"/>
  </cols>
  <sheetData>
    <row r="1" spans="1:6" ht="99.75" customHeight="1" x14ac:dyDescent="0.35"/>
    <row r="2" spans="1:6" x14ac:dyDescent="0.35">
      <c r="A2" s="194" t="s">
        <v>130</v>
      </c>
      <c r="B2" s="195"/>
    </row>
    <row r="3" spans="1:6" x14ac:dyDescent="0.35">
      <c r="A3" s="138"/>
      <c r="B3" s="139"/>
    </row>
    <row r="4" spans="1:6" x14ac:dyDescent="0.35">
      <c r="A4" s="140">
        <v>1</v>
      </c>
      <c r="B4" s="141" t="s">
        <v>167</v>
      </c>
    </row>
    <row r="5" spans="1:6" x14ac:dyDescent="0.35">
      <c r="A5" s="140">
        <v>2</v>
      </c>
      <c r="B5" s="141" t="s">
        <v>168</v>
      </c>
    </row>
    <row r="6" spans="1:6" x14ac:dyDescent="0.35">
      <c r="A6" s="140">
        <v>3</v>
      </c>
      <c r="B6" s="141" t="s">
        <v>169</v>
      </c>
    </row>
    <row r="7" spans="1:6" x14ac:dyDescent="0.35">
      <c r="A7" s="140">
        <v>4</v>
      </c>
      <c r="B7" s="139"/>
    </row>
    <row r="8" spans="1:6" x14ac:dyDescent="0.35">
      <c r="A8" s="140">
        <v>5</v>
      </c>
      <c r="B8" s="139"/>
    </row>
    <row r="9" spans="1:6" x14ac:dyDescent="0.35">
      <c r="A9" s="142">
        <v>6</v>
      </c>
      <c r="B9" s="143"/>
    </row>
    <row r="10" spans="1:6" ht="15.75" customHeight="1" x14ac:dyDescent="0.35"/>
    <row r="11" spans="1:6" ht="17.25" x14ac:dyDescent="0.45">
      <c r="A11" s="45" t="s">
        <v>195</v>
      </c>
    </row>
    <row r="12" spans="1:6" ht="15.75" customHeight="1" x14ac:dyDescent="0.35"/>
    <row r="13" spans="1:6" x14ac:dyDescent="0.35">
      <c r="D13" s="46" t="s">
        <v>91</v>
      </c>
      <c r="E13" s="44"/>
    </row>
    <row r="14" spans="1:6" x14ac:dyDescent="0.35">
      <c r="D14" s="46" t="s">
        <v>90</v>
      </c>
      <c r="E14" s="44"/>
    </row>
    <row r="15" spans="1:6" x14ac:dyDescent="0.35">
      <c r="D15" s="46" t="s">
        <v>93</v>
      </c>
      <c r="E15" s="44"/>
      <c r="F15" s="44" t="s">
        <v>111</v>
      </c>
    </row>
    <row r="16" spans="1:6" x14ac:dyDescent="0.35">
      <c r="D16" s="46" t="s">
        <v>94</v>
      </c>
      <c r="E16" s="44"/>
      <c r="F16" s="44" t="s">
        <v>112</v>
      </c>
    </row>
    <row r="17" spans="4:9" x14ac:dyDescent="0.35">
      <c r="D17" s="46" t="s">
        <v>95</v>
      </c>
      <c r="E17" s="44"/>
      <c r="F17" s="44" t="s">
        <v>113</v>
      </c>
    </row>
    <row r="18" spans="4:9" x14ac:dyDescent="0.35">
      <c r="D18" s="55" t="s">
        <v>115</v>
      </c>
      <c r="E18" s="44"/>
    </row>
    <row r="19" spans="4:9" x14ac:dyDescent="0.35">
      <c r="D19" s="46" t="s">
        <v>116</v>
      </c>
      <c r="E19" s="44"/>
      <c r="F19" s="44" t="s">
        <v>92</v>
      </c>
    </row>
    <row r="20" spans="4:9" x14ac:dyDescent="0.35">
      <c r="D20" s="46" t="s">
        <v>117</v>
      </c>
      <c r="E20" s="44"/>
      <c r="F20" s="44" t="s">
        <v>92</v>
      </c>
    </row>
    <row r="21" spans="4:9" x14ac:dyDescent="0.35">
      <c r="D21" s="46" t="s">
        <v>108</v>
      </c>
      <c r="E21" s="44"/>
      <c r="F21" s="44" t="s">
        <v>109</v>
      </c>
    </row>
    <row r="22" spans="4:9" x14ac:dyDescent="0.35">
      <c r="D22" s="46" t="s">
        <v>114</v>
      </c>
      <c r="E22" s="44"/>
      <c r="F22" s="44" t="s">
        <v>109</v>
      </c>
      <c r="G22" s="46"/>
      <c r="I22" s="44"/>
    </row>
    <row r="23" spans="4:9" x14ac:dyDescent="0.35">
      <c r="D23" s="46" t="s">
        <v>147</v>
      </c>
      <c r="F23" s="44" t="s">
        <v>109</v>
      </c>
      <c r="G23" s="46"/>
      <c r="I23" s="44"/>
    </row>
    <row r="24" spans="4:9" x14ac:dyDescent="0.35">
      <c r="D24" s="46" t="s">
        <v>131</v>
      </c>
      <c r="E24" s="44"/>
      <c r="F24" s="44" t="s">
        <v>118</v>
      </c>
    </row>
    <row r="25" spans="4:9" x14ac:dyDescent="0.35">
      <c r="D25" s="46" t="s">
        <v>110</v>
      </c>
      <c r="E25" s="44"/>
    </row>
    <row r="26" spans="4:9" x14ac:dyDescent="0.35">
      <c r="D26" s="46" t="s">
        <v>105</v>
      </c>
      <c r="E26" s="44"/>
    </row>
    <row r="27" spans="4:9" x14ac:dyDescent="0.35">
      <c r="E27" s="44"/>
    </row>
    <row r="28" spans="4:9" x14ac:dyDescent="0.35">
      <c r="E28" s="44"/>
    </row>
    <row r="29" spans="4:9" x14ac:dyDescent="0.35">
      <c r="D29" s="46" t="s">
        <v>96</v>
      </c>
      <c r="E29" s="44"/>
    </row>
    <row r="30" spans="4:9" x14ac:dyDescent="0.35">
      <c r="D30" s="46" t="s">
        <v>90</v>
      </c>
      <c r="E30" s="44"/>
    </row>
    <row r="31" spans="4:9" x14ac:dyDescent="0.35">
      <c r="D31" s="46" t="s">
        <v>93</v>
      </c>
      <c r="E31" s="44"/>
      <c r="F31" s="44" t="s">
        <v>111</v>
      </c>
    </row>
    <row r="32" spans="4:9" x14ac:dyDescent="0.35">
      <c r="D32" s="46" t="s">
        <v>94</v>
      </c>
      <c r="E32" s="44"/>
      <c r="F32" s="44" t="s">
        <v>112</v>
      </c>
    </row>
    <row r="33" spans="4:9" x14ac:dyDescent="0.35">
      <c r="D33" s="46" t="s">
        <v>95</v>
      </c>
      <c r="E33" s="44"/>
      <c r="F33" s="44" t="s">
        <v>113</v>
      </c>
    </row>
    <row r="34" spans="4:9" x14ac:dyDescent="0.35">
      <c r="D34" s="55" t="s">
        <v>115</v>
      </c>
      <c r="E34" s="44"/>
    </row>
    <row r="35" spans="4:9" x14ac:dyDescent="0.35">
      <c r="D35" s="46" t="s">
        <v>116</v>
      </c>
      <c r="E35" s="44"/>
      <c r="F35" s="44" t="s">
        <v>92</v>
      </c>
    </row>
    <row r="36" spans="4:9" x14ac:dyDescent="0.35">
      <c r="D36" s="46" t="s">
        <v>117</v>
      </c>
      <c r="E36" s="44"/>
      <c r="F36" s="44" t="s">
        <v>92</v>
      </c>
    </row>
    <row r="37" spans="4:9" x14ac:dyDescent="0.35">
      <c r="D37" s="46" t="s">
        <v>108</v>
      </c>
      <c r="E37" s="44"/>
      <c r="F37" s="44" t="s">
        <v>109</v>
      </c>
      <c r="G37" s="46"/>
      <c r="I37" s="44"/>
    </row>
    <row r="38" spans="4:9" x14ac:dyDescent="0.35">
      <c r="D38" s="46" t="s">
        <v>114</v>
      </c>
      <c r="E38" s="44"/>
      <c r="F38" s="44" t="s">
        <v>109</v>
      </c>
    </row>
    <row r="39" spans="4:9" x14ac:dyDescent="0.35">
      <c r="D39" s="46" t="s">
        <v>147</v>
      </c>
      <c r="F39" s="44" t="s">
        <v>109</v>
      </c>
    </row>
    <row r="40" spans="4:9" x14ac:dyDescent="0.35">
      <c r="D40" s="46" t="s">
        <v>131</v>
      </c>
      <c r="E40" s="44"/>
      <c r="F40" s="44" t="s">
        <v>118</v>
      </c>
    </row>
    <row r="41" spans="4:9" x14ac:dyDescent="0.35">
      <c r="D41" s="46" t="s">
        <v>110</v>
      </c>
      <c r="E41" s="44"/>
    </row>
    <row r="42" spans="4:9" x14ac:dyDescent="0.35">
      <c r="D42" s="46" t="s">
        <v>105</v>
      </c>
      <c r="E42" s="44"/>
    </row>
    <row r="43" spans="4:9" x14ac:dyDescent="0.35">
      <c r="E43" s="44"/>
    </row>
    <row r="45" spans="4:9" x14ac:dyDescent="0.35">
      <c r="D45" s="46" t="s">
        <v>97</v>
      </c>
      <c r="E45" s="44"/>
    </row>
    <row r="46" spans="4:9" x14ac:dyDescent="0.35">
      <c r="D46" s="46" t="s">
        <v>90</v>
      </c>
      <c r="E46" s="44"/>
    </row>
    <row r="47" spans="4:9" x14ac:dyDescent="0.35">
      <c r="D47" s="46" t="s">
        <v>93</v>
      </c>
      <c r="E47" s="44"/>
      <c r="F47" s="44" t="s">
        <v>111</v>
      </c>
    </row>
    <row r="48" spans="4:9" x14ac:dyDescent="0.35">
      <c r="D48" s="46" t="s">
        <v>94</v>
      </c>
      <c r="E48" s="44"/>
      <c r="F48" s="44" t="s">
        <v>112</v>
      </c>
    </row>
    <row r="49" spans="4:9" x14ac:dyDescent="0.35">
      <c r="D49" s="46" t="s">
        <v>95</v>
      </c>
      <c r="E49" s="44"/>
      <c r="F49" s="44" t="s">
        <v>113</v>
      </c>
    </row>
    <row r="50" spans="4:9" x14ac:dyDescent="0.35">
      <c r="D50" s="55" t="s">
        <v>115</v>
      </c>
      <c r="E50" s="44"/>
    </row>
    <row r="51" spans="4:9" x14ac:dyDescent="0.35">
      <c r="D51" s="46" t="s">
        <v>116</v>
      </c>
      <c r="E51" s="44"/>
      <c r="F51" s="44" t="s">
        <v>92</v>
      </c>
    </row>
    <row r="52" spans="4:9" x14ac:dyDescent="0.35">
      <c r="D52" s="46" t="s">
        <v>117</v>
      </c>
      <c r="E52" s="44"/>
      <c r="F52" s="44" t="s">
        <v>92</v>
      </c>
      <c r="G52" s="46"/>
      <c r="I52" s="44"/>
    </row>
    <row r="53" spans="4:9" x14ac:dyDescent="0.35">
      <c r="D53" s="46" t="s">
        <v>108</v>
      </c>
      <c r="E53" s="44"/>
      <c r="F53" s="44" t="s">
        <v>109</v>
      </c>
    </row>
    <row r="54" spans="4:9" x14ac:dyDescent="0.35">
      <c r="D54" s="46" t="s">
        <v>114</v>
      </c>
      <c r="E54" s="44"/>
      <c r="F54" s="44" t="s">
        <v>109</v>
      </c>
    </row>
    <row r="55" spans="4:9" x14ac:dyDescent="0.35">
      <c r="D55" s="46" t="s">
        <v>147</v>
      </c>
      <c r="F55" s="44" t="s">
        <v>109</v>
      </c>
    </row>
    <row r="56" spans="4:9" x14ac:dyDescent="0.35">
      <c r="D56" s="73" t="s">
        <v>131</v>
      </c>
      <c r="E56" s="72"/>
      <c r="F56" s="72" t="s">
        <v>118</v>
      </c>
    </row>
    <row r="57" spans="4:9" x14ac:dyDescent="0.35">
      <c r="D57" s="73" t="s">
        <v>110</v>
      </c>
      <c r="E57" s="72"/>
      <c r="F57" s="69"/>
    </row>
    <row r="58" spans="4:9" x14ac:dyDescent="0.35">
      <c r="D58" s="46" t="s">
        <v>105</v>
      </c>
      <c r="E58" s="44"/>
    </row>
    <row r="60" spans="4:9" x14ac:dyDescent="0.35">
      <c r="D60" s="46" t="s">
        <v>100</v>
      </c>
      <c r="E60" s="44"/>
    </row>
    <row r="61" spans="4:9" x14ac:dyDescent="0.35">
      <c r="D61" s="46" t="s">
        <v>90</v>
      </c>
      <c r="E61" s="44"/>
    </row>
    <row r="62" spans="4:9" x14ac:dyDescent="0.35">
      <c r="D62" s="46" t="s">
        <v>93</v>
      </c>
      <c r="E62" s="44"/>
      <c r="F62" s="44" t="s">
        <v>111</v>
      </c>
    </row>
    <row r="63" spans="4:9" x14ac:dyDescent="0.35">
      <c r="D63" s="46" t="s">
        <v>94</v>
      </c>
      <c r="E63" s="44"/>
      <c r="F63" s="44" t="s">
        <v>112</v>
      </c>
    </row>
    <row r="64" spans="4:9" x14ac:dyDescent="0.35">
      <c r="D64" s="46" t="s">
        <v>95</v>
      </c>
      <c r="E64" s="44"/>
      <c r="F64" s="44" t="s">
        <v>113</v>
      </c>
    </row>
    <row r="65" spans="4:9" x14ac:dyDescent="0.35">
      <c r="D65" s="55" t="s">
        <v>115</v>
      </c>
      <c r="E65" s="44"/>
    </row>
    <row r="66" spans="4:9" x14ac:dyDescent="0.35">
      <c r="D66" s="46" t="s">
        <v>116</v>
      </c>
      <c r="E66" s="44"/>
      <c r="F66" s="44" t="s">
        <v>92</v>
      </c>
      <c r="G66" s="46"/>
      <c r="I66" s="44"/>
    </row>
    <row r="67" spans="4:9" x14ac:dyDescent="0.35">
      <c r="D67" s="46" t="s">
        <v>117</v>
      </c>
      <c r="E67" s="44"/>
      <c r="F67" s="44" t="s">
        <v>92</v>
      </c>
    </row>
    <row r="68" spans="4:9" x14ac:dyDescent="0.35">
      <c r="D68" s="46" t="s">
        <v>108</v>
      </c>
      <c r="E68" s="44"/>
      <c r="F68" s="44" t="s">
        <v>109</v>
      </c>
    </row>
    <row r="69" spans="4:9" x14ac:dyDescent="0.35">
      <c r="D69" s="46" t="s">
        <v>114</v>
      </c>
      <c r="E69" s="44"/>
      <c r="F69" s="44" t="s">
        <v>109</v>
      </c>
    </row>
    <row r="70" spans="4:9" x14ac:dyDescent="0.35">
      <c r="D70" s="46" t="s">
        <v>147</v>
      </c>
      <c r="F70" s="44" t="s">
        <v>109</v>
      </c>
    </row>
    <row r="71" spans="4:9" x14ac:dyDescent="0.35">
      <c r="D71" s="46" t="s">
        <v>131</v>
      </c>
      <c r="E71" s="44"/>
      <c r="F71" s="44" t="s">
        <v>118</v>
      </c>
    </row>
    <row r="72" spans="4:9" x14ac:dyDescent="0.35">
      <c r="D72" s="46" t="s">
        <v>110</v>
      </c>
      <c r="E72" s="44"/>
    </row>
    <row r="73" spans="4:9" x14ac:dyDescent="0.35">
      <c r="D73" s="46" t="s">
        <v>105</v>
      </c>
      <c r="E73" s="44"/>
    </row>
    <row r="76" spans="4:9" x14ac:dyDescent="0.35">
      <c r="D76" s="46" t="s">
        <v>99</v>
      </c>
      <c r="E76" s="44"/>
    </row>
    <row r="77" spans="4:9" x14ac:dyDescent="0.35">
      <c r="D77" s="46" t="s">
        <v>90</v>
      </c>
      <c r="E77" s="44"/>
    </row>
    <row r="78" spans="4:9" x14ac:dyDescent="0.35">
      <c r="D78" s="46" t="s">
        <v>93</v>
      </c>
      <c r="E78" s="44"/>
      <c r="F78" s="44" t="s">
        <v>111</v>
      </c>
    </row>
    <row r="79" spans="4:9" x14ac:dyDescent="0.35">
      <c r="D79" s="46" t="s">
        <v>94</v>
      </c>
      <c r="E79" s="44"/>
      <c r="F79" s="44" t="s">
        <v>112</v>
      </c>
    </row>
    <row r="80" spans="4:9" x14ac:dyDescent="0.35">
      <c r="D80" s="46" t="s">
        <v>95</v>
      </c>
      <c r="E80" s="44"/>
      <c r="F80" s="44" t="s">
        <v>113</v>
      </c>
      <c r="G80" s="46"/>
      <c r="I80" s="44"/>
    </row>
    <row r="81" spans="4:9" x14ac:dyDescent="0.35">
      <c r="D81" s="55" t="s">
        <v>115</v>
      </c>
      <c r="E81" s="44"/>
    </row>
    <row r="82" spans="4:9" x14ac:dyDescent="0.35">
      <c r="D82" s="46" t="s">
        <v>116</v>
      </c>
      <c r="E82" s="44"/>
      <c r="F82" s="44" t="s">
        <v>92</v>
      </c>
    </row>
    <row r="83" spans="4:9" x14ac:dyDescent="0.35">
      <c r="D83" s="46" t="s">
        <v>117</v>
      </c>
      <c r="E83" s="44"/>
      <c r="F83" s="44" t="s">
        <v>92</v>
      </c>
    </row>
    <row r="84" spans="4:9" x14ac:dyDescent="0.35">
      <c r="D84" s="46" t="s">
        <v>108</v>
      </c>
      <c r="E84" s="44"/>
      <c r="F84" s="44" t="s">
        <v>109</v>
      </c>
    </row>
    <row r="85" spans="4:9" x14ac:dyDescent="0.35">
      <c r="D85" s="46" t="s">
        <v>114</v>
      </c>
      <c r="E85" s="44"/>
      <c r="F85" s="44" t="s">
        <v>109</v>
      </c>
    </row>
    <row r="86" spans="4:9" x14ac:dyDescent="0.35">
      <c r="D86" s="46" t="s">
        <v>147</v>
      </c>
      <c r="F86" s="44" t="s">
        <v>109</v>
      </c>
    </row>
    <row r="87" spans="4:9" x14ac:dyDescent="0.35">
      <c r="D87" s="46" t="s">
        <v>131</v>
      </c>
      <c r="E87" s="44"/>
      <c r="F87" s="44" t="s">
        <v>118</v>
      </c>
    </row>
    <row r="88" spans="4:9" x14ac:dyDescent="0.35">
      <c r="D88" s="46" t="s">
        <v>110</v>
      </c>
      <c r="E88" s="44"/>
    </row>
    <row r="89" spans="4:9" x14ac:dyDescent="0.35">
      <c r="D89" s="46" t="s">
        <v>105</v>
      </c>
      <c r="E89" s="44"/>
    </row>
    <row r="92" spans="4:9" x14ac:dyDescent="0.35">
      <c r="D92" s="46" t="s">
        <v>98</v>
      </c>
      <c r="E92" s="44"/>
    </row>
    <row r="93" spans="4:9" x14ac:dyDescent="0.35">
      <c r="D93" s="46" t="s">
        <v>90</v>
      </c>
      <c r="E93" s="44"/>
    </row>
    <row r="94" spans="4:9" x14ac:dyDescent="0.35">
      <c r="D94" s="46" t="s">
        <v>93</v>
      </c>
      <c r="E94" s="44"/>
      <c r="F94" s="44" t="s">
        <v>111</v>
      </c>
      <c r="G94" s="46"/>
      <c r="I94" s="44"/>
    </row>
    <row r="95" spans="4:9" x14ac:dyDescent="0.35">
      <c r="D95" s="46" t="s">
        <v>94</v>
      </c>
      <c r="E95" s="44"/>
      <c r="F95" s="44" t="s">
        <v>112</v>
      </c>
    </row>
    <row r="96" spans="4:9" x14ac:dyDescent="0.35">
      <c r="D96" s="46" t="s">
        <v>95</v>
      </c>
      <c r="E96" s="44"/>
      <c r="F96" s="44" t="s">
        <v>113</v>
      </c>
    </row>
    <row r="97" spans="4:6" x14ac:dyDescent="0.35">
      <c r="D97" s="55" t="s">
        <v>115</v>
      </c>
      <c r="E97" s="44"/>
    </row>
    <row r="98" spans="4:6" x14ac:dyDescent="0.35">
      <c r="D98" s="46" t="s">
        <v>116</v>
      </c>
      <c r="E98" s="44"/>
      <c r="F98" s="44" t="s">
        <v>92</v>
      </c>
    </row>
    <row r="99" spans="4:6" x14ac:dyDescent="0.35">
      <c r="D99" s="46" t="s">
        <v>117</v>
      </c>
      <c r="E99" s="44"/>
      <c r="F99" s="44" t="s">
        <v>92</v>
      </c>
    </row>
    <row r="100" spans="4:6" x14ac:dyDescent="0.35">
      <c r="D100" s="46" t="s">
        <v>108</v>
      </c>
      <c r="E100" s="44"/>
      <c r="F100" s="44" t="s">
        <v>109</v>
      </c>
    </row>
    <row r="101" spans="4:6" x14ac:dyDescent="0.35">
      <c r="D101" s="46" t="s">
        <v>114</v>
      </c>
      <c r="E101" s="44"/>
      <c r="F101" s="44" t="s">
        <v>109</v>
      </c>
    </row>
    <row r="102" spans="4:6" x14ac:dyDescent="0.35">
      <c r="D102" s="46" t="s">
        <v>147</v>
      </c>
      <c r="F102" s="44" t="s">
        <v>109</v>
      </c>
    </row>
    <row r="103" spans="4:6" x14ac:dyDescent="0.35">
      <c r="D103" s="46" t="s">
        <v>131</v>
      </c>
      <c r="E103" s="44"/>
      <c r="F103" s="44" t="s">
        <v>118</v>
      </c>
    </row>
    <row r="104" spans="4:6" x14ac:dyDescent="0.35">
      <c r="D104" s="46" t="s">
        <v>110</v>
      </c>
      <c r="E104" s="44"/>
    </row>
    <row r="105" spans="4:6" x14ac:dyDescent="0.35">
      <c r="D105" s="46" t="s">
        <v>105</v>
      </c>
      <c r="E105" s="44"/>
    </row>
  </sheetData>
  <sheetProtection algorithmName="SHA-512" hashValue="kDIe91D/F+0xOMWp9j4wpK4U0mm2KL4EB6B74Smyt1vQsv6xtVIbwYzm2FZJMn769Xhl+0hlrIgEn8w9ADrAZw==" saltValue="WNL+/WV1ibmRvOOzVG/hJg==" spinCount="100000" sheet="1" objects="1" scenarios="1"/>
  <mergeCells count="1">
    <mergeCell ref="A2:B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889029B91DB49BCAB0F386F3172E0" ma:contentTypeVersion="0" ma:contentTypeDescription="Create a new document." ma:contentTypeScope="" ma:versionID="f2ef72a9e6ac4d2267b80c8c6aca68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878ADD-73BC-49EC-B5D0-E81C3819CE5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E69EFD-5209-430B-8438-5D9C3952C7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F65718-6D0F-45F6-AF06-A6D6893FFF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PROFILE</vt:lpstr>
      <vt:lpstr>DATA</vt:lpstr>
      <vt:lpstr>IRR</vt:lpstr>
      <vt:lpstr>BACKGROUND</vt:lpstr>
      <vt:lpstr>Homogenizers</vt:lpstr>
      <vt:lpstr>HWRS</vt:lpstr>
      <vt:lpstr>IRR!payback</vt:lpstr>
      <vt:lpstr>DATA!Print_Area</vt:lpstr>
      <vt:lpstr>IRR!Print_Area</vt:lpstr>
    </vt:vector>
  </TitlesOfParts>
  <Company>The Kroger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Kroger User</dc:creator>
  <cp:lastModifiedBy>Trace Johnson</cp:lastModifiedBy>
  <cp:lastPrinted>2018-03-06T02:05:26Z</cp:lastPrinted>
  <dcterms:created xsi:type="dcterms:W3CDTF">2002-01-29T18:05:35Z</dcterms:created>
  <dcterms:modified xsi:type="dcterms:W3CDTF">2021-03-08T15:48:49Z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